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6CCE0D35-7205-459C-BC23-6F1591EE7C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ЖУКОВСКОГО 6" sheetId="1" r:id="rId1"/>
    <sheet name="СОДЕРЖАНИЕ ЖИЛЬЯ" sheetId="2" r:id="rId2"/>
    <sheet name="РЕМОНТ ЖИЛЬЯ" sheetId="3" r:id="rId3"/>
    <sheet name="ОТЧЕТ ЖУКОВСКОГО 6  на подпись" sheetId="4" r:id="rId4"/>
  </sheets>
  <calcPr calcId="191029" refMode="R1C1"/>
</workbook>
</file>

<file path=xl/calcChain.xml><?xml version="1.0" encoding="utf-8"?>
<calcChain xmlns="http://schemas.openxmlformats.org/spreadsheetml/2006/main">
  <c r="L31" i="4" l="1"/>
  <c r="I80" i="2"/>
  <c r="I74" i="2"/>
  <c r="I68" i="2"/>
  <c r="I62" i="2"/>
  <c r="I57" i="2"/>
  <c r="I51" i="2"/>
  <c r="I42" i="2"/>
  <c r="I36" i="2"/>
  <c r="I31" i="2"/>
  <c r="I25" i="2"/>
  <c r="I19" i="2"/>
  <c r="I14" i="2"/>
  <c r="K30" i="1" l="1"/>
  <c r="K31" i="1"/>
  <c r="K32" i="1"/>
  <c r="K34" i="1"/>
  <c r="K35" i="1"/>
  <c r="K36" i="1"/>
  <c r="K37" i="1"/>
  <c r="K38" i="1"/>
  <c r="K39" i="1"/>
  <c r="K40" i="1"/>
  <c r="I82" i="2"/>
  <c r="I76" i="2"/>
  <c r="I70" i="2"/>
  <c r="I64" i="2"/>
  <c r="I58" i="2"/>
  <c r="I53" i="2"/>
  <c r="I43" i="2"/>
  <c r="I38" i="2"/>
  <c r="I30" i="2"/>
  <c r="I24" i="2"/>
  <c r="I20" i="2"/>
  <c r="I18" i="2"/>
  <c r="I12" i="2"/>
  <c r="I12" i="3"/>
  <c r="I29" i="1" s="1"/>
  <c r="I11" i="2"/>
  <c r="M52" i="1"/>
  <c r="K46" i="1"/>
  <c r="I46" i="1"/>
  <c r="K45" i="1"/>
  <c r="I45" i="1"/>
  <c r="K48" i="1"/>
  <c r="K47" i="1"/>
  <c r="I47" i="1"/>
  <c r="I48" i="1"/>
  <c r="I16" i="2" l="1"/>
  <c r="I21" i="2"/>
  <c r="I13" i="1" s="1"/>
  <c r="K13" i="1" s="1"/>
  <c r="C31" i="1"/>
  <c r="C14" i="1"/>
  <c r="C30" i="1"/>
  <c r="C13" i="1"/>
  <c r="I12" i="1" l="1"/>
  <c r="G23" i="4"/>
  <c r="M41" i="1"/>
  <c r="J23" i="4" l="1"/>
  <c r="M23" i="4"/>
  <c r="E24" i="1"/>
  <c r="K29" i="1"/>
  <c r="I79" i="2"/>
  <c r="I73" i="2"/>
  <c r="I67" i="2"/>
  <c r="I61" i="2"/>
  <c r="I56" i="2"/>
  <c r="I59" i="2" s="1"/>
  <c r="I19" i="1" s="1"/>
  <c r="K19" i="1" s="1"/>
  <c r="I49" i="2"/>
  <c r="I41" i="2"/>
  <c r="I47" i="2" s="1"/>
  <c r="I17" i="1" s="1"/>
  <c r="K17" i="1" s="1"/>
  <c r="I35" i="2"/>
  <c r="I29" i="2"/>
  <c r="I23" i="2"/>
  <c r="C15" i="1" l="1"/>
  <c r="L32" i="4" l="1"/>
  <c r="L37" i="4" s="1"/>
  <c r="J13" i="4"/>
  <c r="L36" i="4" s="1"/>
  <c r="G13" i="4"/>
  <c r="M13" i="4"/>
  <c r="M24" i="4" s="1"/>
  <c r="L35" i="4" s="1"/>
  <c r="K49" i="1"/>
  <c r="I49" i="1"/>
  <c r="L38" i="4" l="1"/>
  <c r="C32" i="1"/>
  <c r="C33" i="1" s="1"/>
  <c r="C34" i="1" s="1"/>
  <c r="C16" i="1"/>
  <c r="C17" i="1" s="1"/>
  <c r="C18" i="1" s="1"/>
  <c r="G41" i="1"/>
  <c r="E41" i="1"/>
  <c r="G24" i="1"/>
  <c r="C19" i="1" l="1"/>
  <c r="C35" i="1"/>
  <c r="L7" i="1"/>
  <c r="L6" i="1"/>
  <c r="I84" i="2"/>
  <c r="I23" i="1" s="1"/>
  <c r="K23" i="1" s="1"/>
  <c r="I77" i="2"/>
  <c r="I22" i="1" s="1"/>
  <c r="K22" i="1" s="1"/>
  <c r="I71" i="2"/>
  <c r="I21" i="1" s="1"/>
  <c r="K21" i="1" s="1"/>
  <c r="I65" i="2"/>
  <c r="I54" i="2"/>
  <c r="I39" i="2"/>
  <c r="I16" i="1" s="1"/>
  <c r="K16" i="1" s="1"/>
  <c r="I33" i="2"/>
  <c r="I15" i="1" s="1"/>
  <c r="K15" i="1" s="1"/>
  <c r="I27" i="2"/>
  <c r="I85" i="2" l="1"/>
  <c r="I20" i="1"/>
  <c r="K20" i="1" s="1"/>
  <c r="I18" i="1"/>
  <c r="K18" i="1" s="1"/>
  <c r="K12" i="1"/>
  <c r="I14" i="1"/>
  <c r="K14" i="1" s="1"/>
  <c r="C20" i="1"/>
  <c r="C36" i="1"/>
  <c r="I24" i="1" l="1"/>
  <c r="C21" i="1"/>
  <c r="C37" i="1"/>
  <c r="C22" i="1" l="1"/>
  <c r="C38" i="1"/>
  <c r="K24" i="1"/>
  <c r="K25" i="1" s="1"/>
  <c r="C23" i="1" l="1"/>
  <c r="C39" i="1"/>
  <c r="C40" i="1" l="1"/>
  <c r="I16" i="3"/>
  <c r="I7" i="3"/>
  <c r="I33" i="1" l="1"/>
  <c r="K33" i="1" s="1"/>
  <c r="I17" i="3"/>
  <c r="I7" i="2"/>
  <c r="K41" i="1" l="1"/>
  <c r="K42" i="1" s="1"/>
  <c r="M57" i="1" s="1"/>
  <c r="I41" i="1"/>
  <c r="M49" i="1"/>
  <c r="M24" i="1"/>
  <c r="M56" i="1" l="1"/>
</calcChain>
</file>

<file path=xl/sharedStrings.xml><?xml version="1.0" encoding="utf-8"?>
<sst xmlns="http://schemas.openxmlformats.org/spreadsheetml/2006/main" count="393" uniqueCount="158">
  <si>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</si>
  <si>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</si>
  <si>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</si>
  <si>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</si>
  <si>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</si>
  <si>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</si>
  <si>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</si>
  <si>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</si>
  <si>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</si>
  <si>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</si>
  <si>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</si>
  <si>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</si>
  <si>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</si>
  <si>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</si>
  <si>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</si>
  <si>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</si>
  <si>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</si>
  <si>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</si>
  <si>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</si>
  <si>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</si>
  <si>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</si>
  <si>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</si>
  <si>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</si>
  <si>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</si>
  <si>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</si>
  <si>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</si>
  <si>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</si>
  <si>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</si>
  <si>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</si>
  <si>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</si>
  <si>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</si>
  <si>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</si>
  <si>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</si>
  <si>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</si>
  <si>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</si>
  <si>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</si>
  <si>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</si>
  <si>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</si>
  <si>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</si>
  <si>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</si>
  <si>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</si>
  <si>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</si>
  <si>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</si>
  <si>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</si>
  <si>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</si>
  <si>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</si>
  <si>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</si>
  <si>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</si>
  <si>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</si>
  <si>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</si>
  <si>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</si>
  <si>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</si>
  <si>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</si>
  <si>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</si>
  <si>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</si>
  <si>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</si>
  <si>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</si>
  <si>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</si>
  <si>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</si>
  <si>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</si>
  <si>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</si>
  <si>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</si>
  <si>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</si>
  <si>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</si>
  <si>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</si>
  <si>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</si>
  <si>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</si>
  <si>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</si>
  <si>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Проверка вентканалов и дымоходов</t>
  </si>
  <si>
    <t>усл.</t>
  </si>
  <si>
    <t>ТО ВДГО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</si>
  <si>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</si>
  <si>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</si>
  <si>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</si>
  <si>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</si>
  <si>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Содержание ОПУ эл.эн.-0,05руб.</t>
  </si>
  <si>
    <t>Уборка придомовой тер-ии</t>
  </si>
  <si>
    <t>Содержание ОПУ эл. эн.</t>
  </si>
  <si>
    <t>Управляющая компания ООО "УК "ЮгДомКомфорт" с  01.02.2022 г.</t>
  </si>
  <si>
    <t>Ремонт ОИ</t>
  </si>
  <si>
    <t>Содержание ОИ</t>
  </si>
  <si>
    <t>Лицевой счет МКД по адресу: г. Таганрог, ул.  Жуковского, д. 6</t>
  </si>
  <si>
    <t>S жилых помещений - 800,01 м²</t>
  </si>
  <si>
    <t>Протокол №1 от 26 ноября 2021г.</t>
  </si>
  <si>
    <t>Уборка придомовой тер-ии-2,25 руб.</t>
  </si>
  <si>
    <t>Тариф -15,45 руб.</t>
  </si>
  <si>
    <t>Приказ ГЖИ № 105-Л  от 31.01.22г.</t>
  </si>
  <si>
    <t>Ремонт освещения в подвале</t>
  </si>
  <si>
    <t>дома по адресу: Ростовская область, г. Таганрог, ул.Жуковского, д. 6</t>
  </si>
  <si>
    <t>с 01.01.2023г. по 31.12.2023г.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</si>
  <si>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</si>
  <si>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</si>
  <si>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</si>
  <si>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</si>
  <si>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Информация за 2023г.</t>
  </si>
  <si>
    <t>Январь</t>
  </si>
  <si>
    <t>Электроэнергия СОИД (повышающий тариф)</t>
  </si>
  <si>
    <t>Задолженность на 31.12.2023г.</t>
  </si>
  <si>
    <t>за период с 01.01.2023г. по 31.12.2023г.</t>
  </si>
  <si>
    <t>Январь 2023г.</t>
  </si>
  <si>
    <t>ИТОГО февраль 2023г.</t>
  </si>
  <si>
    <t xml:space="preserve">Доставка песка </t>
  </si>
  <si>
    <t>Снятие показаний с прибора ОДЛПУ ЭЭ</t>
  </si>
  <si>
    <t>ЯНВАРЬ 2023г.</t>
  </si>
  <si>
    <t>ИТОГО январь  2023г.</t>
  </si>
  <si>
    <t>31.01.2023г</t>
  </si>
  <si>
    <t>Восстановление освещения в подвале</t>
  </si>
  <si>
    <t>ИТОГО январь 2023г.</t>
  </si>
  <si>
    <t>Март 2023г.</t>
  </si>
  <si>
    <t>28.02.2023г.</t>
  </si>
  <si>
    <t>ИТОГО март 2023г.</t>
  </si>
  <si>
    <t>Проверка вентканалов по выхову кв. 1 , выдача актов для газовиков</t>
  </si>
  <si>
    <t>Апрель 2023г.</t>
  </si>
  <si>
    <t>30.04.2023г.</t>
  </si>
  <si>
    <t>Февраль 2023г.</t>
  </si>
  <si>
    <t>30.03.2023г.</t>
  </si>
  <si>
    <t>ИТОГО апрель 2023г.</t>
  </si>
  <si>
    <t>Май  2023г.</t>
  </si>
  <si>
    <t>Гидравлические испытания системы отопления</t>
  </si>
  <si>
    <t>31.05.2023г.</t>
  </si>
  <si>
    <t>на доме № 6 по ул. Жуковского</t>
  </si>
  <si>
    <t>МАЙ 2023г.</t>
  </si>
  <si>
    <t xml:space="preserve">Ремонт участка чердачной разводки   </t>
  </si>
  <si>
    <t>ИТОГО май 2023г.</t>
  </si>
  <si>
    <t>Июнь 2023г.</t>
  </si>
  <si>
    <t>30.06.2023г.</t>
  </si>
  <si>
    <t>Покос на придомовой территории</t>
  </si>
  <si>
    <t>Снятие  показаний с прибора учета ЭЭ</t>
  </si>
  <si>
    <t>Устройство датчика движения 1 под.</t>
  </si>
  <si>
    <t>ИТОГО июнь 2023г.</t>
  </si>
  <si>
    <t>Июль 2023г.</t>
  </si>
  <si>
    <t>ИТОГО июль 2023г.</t>
  </si>
  <si>
    <t>31.07.2023г.</t>
  </si>
  <si>
    <t>Глубокая прочистка канализации</t>
  </si>
  <si>
    <t>Глубокая прочистка канализации и трассы между колодцами</t>
  </si>
  <si>
    <t>Август 2023г.</t>
  </si>
  <si>
    <t>ИТОГО август 2023г.</t>
  </si>
  <si>
    <t>31.08.2023г.</t>
  </si>
  <si>
    <t>Сентябрь 2023г.</t>
  </si>
  <si>
    <t>ИТОГО сентябрь 2023г.</t>
  </si>
  <si>
    <t>Прверка вентканалов и дымоходов</t>
  </si>
  <si>
    <t>30.09.2023г.</t>
  </si>
  <si>
    <t>Октябрь 2023г.</t>
  </si>
  <si>
    <t>31.10.2023г.</t>
  </si>
  <si>
    <t>Промывка, шайбировка</t>
  </si>
  <si>
    <t>ИТОГО октябрь 2023г.</t>
  </si>
  <si>
    <t>Ноябрь 2023г.</t>
  </si>
  <si>
    <t>ИТОГО ноябрь 2023г.</t>
  </si>
  <si>
    <t xml:space="preserve">Обработка и передача показаний ОДПУ ЭЭ </t>
  </si>
  <si>
    <t>Декабрь 2023г.</t>
  </si>
  <si>
    <t>31.12.2023г.</t>
  </si>
  <si>
    <t>ИТОГО декабрь 2023г.</t>
  </si>
  <si>
    <t>Обработка и передача показаний ОДПУ ЭЭ</t>
  </si>
  <si>
    <t xml:space="preserve">ИТОГО за 2023г. </t>
  </si>
  <si>
    <t>Электроэнергия СОИД (повыш. тариф)</t>
  </si>
  <si>
    <t>ОТЧЕТ ООО "Управляющая компания "ЮгДомКомфорт" за 2023г. перед собственниками</t>
  </si>
  <si>
    <t>Информационное обслуживание, раскрытие информаации на сайте ГИС ЖКХ</t>
  </si>
  <si>
    <t>31.11.2023г.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</si>
</sst>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0" borderId="3" xfId="0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2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1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8" t="s">
        <v>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x14ac:dyDescent="0.3">
      <c r="A2" s="59" t="s">
        <v>82</v>
      </c>
      <c r="B2" s="60"/>
      <c r="C2" s="60"/>
      <c r="D2" s="67"/>
      <c r="E2" s="59" t="s">
        <v>83</v>
      </c>
      <c r="F2" s="60"/>
      <c r="G2" s="60"/>
      <c r="H2" s="60"/>
      <c r="I2" s="67"/>
      <c r="J2" s="59" t="s">
        <v>86</v>
      </c>
      <c r="K2" s="60"/>
      <c r="L2" s="60"/>
      <c r="M2" s="67"/>
    </row>
    <row r="3" spans="1:13" x14ac:dyDescent="0.3">
      <c r="A3" s="59" t="s">
        <v>85</v>
      </c>
      <c r="B3" s="67"/>
      <c r="C3" s="59" t="s">
        <v>71</v>
      </c>
      <c r="D3" s="60"/>
      <c r="E3" s="60"/>
      <c r="F3" s="60"/>
      <c r="G3" s="60"/>
      <c r="H3" s="67"/>
      <c r="I3" s="59" t="s">
        <v>72</v>
      </c>
      <c r="J3" s="60"/>
      <c r="K3" s="60"/>
      <c r="L3" s="60"/>
      <c r="M3" s="67"/>
    </row>
    <row r="4" spans="1:13" x14ac:dyDescent="0.3">
      <c r="A4" s="59" t="s">
        <v>73</v>
      </c>
      <c r="B4" s="60"/>
      <c r="C4" s="60"/>
      <c r="D4" s="60"/>
      <c r="E4" s="60"/>
      <c r="F4" s="60"/>
      <c r="G4" s="67"/>
      <c r="H4" s="59" t="s">
        <v>74</v>
      </c>
      <c r="I4" s="60"/>
      <c r="J4" s="60"/>
      <c r="K4" s="60"/>
      <c r="L4" s="60"/>
      <c r="M4" s="67"/>
    </row>
    <row r="5" spans="1:13" x14ac:dyDescent="0.3">
      <c r="A5" s="58"/>
      <c r="B5" s="58"/>
      <c r="C5" s="58"/>
      <c r="D5" s="58"/>
      <c r="E5" s="58"/>
      <c r="F5" s="58" t="s">
        <v>75</v>
      </c>
      <c r="G5" s="58"/>
      <c r="H5" s="58"/>
      <c r="I5" s="58"/>
      <c r="J5" s="58" t="s">
        <v>84</v>
      </c>
      <c r="K5" s="58"/>
      <c r="L5" s="58"/>
      <c r="M5" s="58"/>
    </row>
    <row r="6" spans="1:13" x14ac:dyDescent="0.3">
      <c r="A6" s="59" t="s">
        <v>90</v>
      </c>
      <c r="B6" s="60"/>
      <c r="C6" s="60"/>
      <c r="D6" s="67"/>
      <c r="E6" s="53">
        <v>19744.71</v>
      </c>
      <c r="F6" s="54"/>
      <c r="G6" s="59" t="s">
        <v>92</v>
      </c>
      <c r="H6" s="60"/>
      <c r="I6" s="60"/>
      <c r="J6" s="60"/>
      <c r="K6" s="67"/>
      <c r="L6" s="53">
        <f>E24+E41</f>
        <v>104646.12000000002</v>
      </c>
      <c r="M6" s="54"/>
    </row>
    <row r="7" spans="1:13" x14ac:dyDescent="0.3">
      <c r="A7" s="59" t="s">
        <v>91</v>
      </c>
      <c r="B7" s="60"/>
      <c r="C7" s="60"/>
      <c r="D7" s="67"/>
      <c r="E7" s="53">
        <v>-31714.68</v>
      </c>
      <c r="F7" s="54"/>
      <c r="G7" s="59" t="s">
        <v>93</v>
      </c>
      <c r="H7" s="60"/>
      <c r="I7" s="60"/>
      <c r="J7" s="60"/>
      <c r="K7" s="67"/>
      <c r="L7" s="53">
        <f>G24+G41</f>
        <v>103589.4</v>
      </c>
      <c r="M7" s="67"/>
    </row>
    <row r="8" spans="1:13" x14ac:dyDescent="0.3">
      <c r="A8" s="95" t="s">
        <v>94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3" x14ac:dyDescent="0.3">
      <c r="A9" s="78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14.25" customHeight="1" x14ac:dyDescent="0.3">
      <c r="A10" s="59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53">
        <v>-52501.82</v>
      </c>
      <c r="M10" s="54"/>
    </row>
    <row r="11" spans="1:13" ht="54.75" customHeight="1" x14ac:dyDescent="0.3">
      <c r="A11" s="81" t="s">
        <v>1</v>
      </c>
      <c r="B11" s="81"/>
      <c r="C11" s="82" t="s">
        <v>6</v>
      </c>
      <c r="D11" s="81"/>
      <c r="E11" s="82" t="s">
        <v>2</v>
      </c>
      <c r="F11" s="81"/>
      <c r="G11" s="82" t="s">
        <v>3</v>
      </c>
      <c r="H11" s="82"/>
      <c r="I11" s="83" t="s">
        <v>4</v>
      </c>
      <c r="J11" s="83"/>
      <c r="K11" s="84" t="s">
        <v>5</v>
      </c>
      <c r="L11" s="85"/>
      <c r="M11" s="2" t="s">
        <v>8</v>
      </c>
    </row>
    <row r="12" spans="1:13" x14ac:dyDescent="0.3">
      <c r="A12" s="58" t="s">
        <v>95</v>
      </c>
      <c r="B12" s="58"/>
      <c r="C12" s="53">
        <v>5554.02</v>
      </c>
      <c r="D12" s="54"/>
      <c r="E12" s="53">
        <v>4360.2</v>
      </c>
      <c r="F12" s="54"/>
      <c r="G12" s="53">
        <v>3507.52</v>
      </c>
      <c r="H12" s="54"/>
      <c r="I12" s="55">
        <f>'СОДЕРЖАНИЕ ЖИЛЬЯ'!I16</f>
        <v>3787.8184900000001</v>
      </c>
      <c r="J12" s="67"/>
      <c r="K12" s="57">
        <f>G12-I12</f>
        <v>-280.29849000000013</v>
      </c>
      <c r="L12" s="58"/>
      <c r="M12" s="41">
        <v>6406.77</v>
      </c>
    </row>
    <row r="13" spans="1:13" x14ac:dyDescent="0.3">
      <c r="A13" s="58" t="s">
        <v>58</v>
      </c>
      <c r="B13" s="58"/>
      <c r="C13" s="53">
        <f>M12</f>
        <v>6406.77</v>
      </c>
      <c r="D13" s="54"/>
      <c r="E13" s="53">
        <v>4360.26</v>
      </c>
      <c r="F13" s="54"/>
      <c r="G13" s="53">
        <v>3232.17</v>
      </c>
      <c r="H13" s="54"/>
      <c r="I13" s="55">
        <f>'СОДЕРЖАНИЕ ЖИЛЬЯ'!I21</f>
        <v>2683.10421</v>
      </c>
      <c r="J13" s="56"/>
      <c r="K13" s="57">
        <f t="shared" ref="K13:K23" si="0">G13-I13</f>
        <v>549.06579000000011</v>
      </c>
      <c r="L13" s="58"/>
      <c r="M13" s="41">
        <v>7699.52</v>
      </c>
    </row>
    <row r="14" spans="1:13" x14ac:dyDescent="0.3">
      <c r="A14" s="58" t="s">
        <v>59</v>
      </c>
      <c r="B14" s="58"/>
      <c r="C14" s="53">
        <f t="shared" ref="C14:C23" si="1">M13</f>
        <v>7699.52</v>
      </c>
      <c r="D14" s="54"/>
      <c r="E14" s="53">
        <v>4360.26</v>
      </c>
      <c r="F14" s="54"/>
      <c r="G14" s="53">
        <v>4980.47</v>
      </c>
      <c r="H14" s="54"/>
      <c r="I14" s="55">
        <f>'СОДЕРЖАНИЕ ЖИЛЬЯ'!I27</f>
        <v>8057.3711500000009</v>
      </c>
      <c r="J14" s="67"/>
      <c r="K14" s="57">
        <f t="shared" si="0"/>
        <v>-3076.9011500000006</v>
      </c>
      <c r="L14" s="58"/>
      <c r="M14" s="41">
        <v>6945.68</v>
      </c>
    </row>
    <row r="15" spans="1:13" x14ac:dyDescent="0.3">
      <c r="A15" s="58" t="s">
        <v>60</v>
      </c>
      <c r="B15" s="58"/>
      <c r="C15" s="53">
        <f t="shared" si="1"/>
        <v>6945.68</v>
      </c>
      <c r="D15" s="54"/>
      <c r="E15" s="53">
        <v>4360.26</v>
      </c>
      <c r="F15" s="54"/>
      <c r="G15" s="53">
        <v>3943.34</v>
      </c>
      <c r="H15" s="54"/>
      <c r="I15" s="55">
        <f>'СОДЕРЖАНИЕ ЖИЛЬЯ'!I33</f>
        <v>3630.4766800000002</v>
      </c>
      <c r="J15" s="67"/>
      <c r="K15" s="57">
        <f t="shared" si="0"/>
        <v>312.86331999999993</v>
      </c>
      <c r="L15" s="58"/>
      <c r="M15" s="41">
        <v>7331.31</v>
      </c>
    </row>
    <row r="16" spans="1:13" x14ac:dyDescent="0.3">
      <c r="A16" s="58" t="s">
        <v>61</v>
      </c>
      <c r="B16" s="58"/>
      <c r="C16" s="53">
        <f t="shared" si="1"/>
        <v>7331.31</v>
      </c>
      <c r="D16" s="54"/>
      <c r="E16" s="53">
        <v>4360.26</v>
      </c>
      <c r="F16" s="54"/>
      <c r="G16" s="53">
        <v>4733.97</v>
      </c>
      <c r="H16" s="54"/>
      <c r="I16" s="55">
        <f>'СОДЕРЖАНИЕ ЖИЛЬЯ'!I39</f>
        <v>19512.03904</v>
      </c>
      <c r="J16" s="67"/>
      <c r="K16" s="57">
        <f t="shared" si="0"/>
        <v>-14778.069039999998</v>
      </c>
      <c r="L16" s="58"/>
      <c r="M16" s="41">
        <v>6957.8</v>
      </c>
    </row>
    <row r="17" spans="1:13" x14ac:dyDescent="0.3">
      <c r="A17" s="58" t="s">
        <v>62</v>
      </c>
      <c r="B17" s="58"/>
      <c r="C17" s="53">
        <f t="shared" si="1"/>
        <v>6957.8</v>
      </c>
      <c r="D17" s="54"/>
      <c r="E17" s="53">
        <v>4360.26</v>
      </c>
      <c r="F17" s="54"/>
      <c r="G17" s="53">
        <v>5099.93</v>
      </c>
      <c r="H17" s="54"/>
      <c r="I17" s="55">
        <f>'СОДЕРЖАНИЕ ЖИЛЬЯ'!I47</f>
        <v>9918.6029300000009</v>
      </c>
      <c r="J17" s="67"/>
      <c r="K17" s="57">
        <f t="shared" si="0"/>
        <v>-4818.6729300000006</v>
      </c>
      <c r="L17" s="58"/>
      <c r="M17" s="41">
        <v>6217.93</v>
      </c>
    </row>
    <row r="18" spans="1:13" x14ac:dyDescent="0.3">
      <c r="A18" s="58" t="s">
        <v>63</v>
      </c>
      <c r="B18" s="58"/>
      <c r="C18" s="53">
        <f t="shared" si="1"/>
        <v>6217.93</v>
      </c>
      <c r="D18" s="54"/>
      <c r="E18" s="53">
        <v>4360.26</v>
      </c>
      <c r="F18" s="54"/>
      <c r="G18" s="53">
        <v>4268.07</v>
      </c>
      <c r="H18" s="54"/>
      <c r="I18" s="55">
        <f>'СОДЕРЖАНИЕ ЖИЛЬЯ'!I54</f>
        <v>13162.95334</v>
      </c>
      <c r="J18" s="67"/>
      <c r="K18" s="57">
        <f t="shared" si="0"/>
        <v>-8894.8833400000003</v>
      </c>
      <c r="L18" s="58"/>
      <c r="M18" s="41">
        <v>6353.34</v>
      </c>
    </row>
    <row r="19" spans="1:13" x14ac:dyDescent="0.3">
      <c r="A19" s="58" t="s">
        <v>64</v>
      </c>
      <c r="B19" s="58"/>
      <c r="C19" s="53">
        <f t="shared" si="1"/>
        <v>6353.34</v>
      </c>
      <c r="D19" s="54"/>
      <c r="E19" s="53">
        <v>4360.26</v>
      </c>
      <c r="F19" s="54"/>
      <c r="G19" s="53">
        <v>4226.6000000000004</v>
      </c>
      <c r="H19" s="54"/>
      <c r="I19" s="55">
        <f>'СОДЕРЖАНИЕ ЖИЛЬЯ'!I59</f>
        <v>2652.1255000000001</v>
      </c>
      <c r="J19" s="67"/>
      <c r="K19" s="57">
        <f t="shared" si="0"/>
        <v>1574.4745000000003</v>
      </c>
      <c r="L19" s="58"/>
      <c r="M19" s="41">
        <v>6506.93</v>
      </c>
    </row>
    <row r="20" spans="1:13" x14ac:dyDescent="0.3">
      <c r="A20" s="58" t="s">
        <v>65</v>
      </c>
      <c r="B20" s="58"/>
      <c r="C20" s="53">
        <f t="shared" si="1"/>
        <v>6506.93</v>
      </c>
      <c r="D20" s="54"/>
      <c r="E20" s="53">
        <v>4360.26</v>
      </c>
      <c r="F20" s="54"/>
      <c r="G20" s="53">
        <v>4283.3999999999996</v>
      </c>
      <c r="H20" s="54"/>
      <c r="I20" s="55">
        <f>'СОДЕРЖАНИЕ ЖИЛЬЯ'!I65</f>
        <v>7447.3915800000004</v>
      </c>
      <c r="J20" s="67"/>
      <c r="K20" s="57">
        <f t="shared" si="0"/>
        <v>-3163.9915800000008</v>
      </c>
      <c r="L20" s="58"/>
      <c r="M20" s="41">
        <v>6520.64</v>
      </c>
    </row>
    <row r="21" spans="1:13" x14ac:dyDescent="0.3">
      <c r="A21" s="58" t="s">
        <v>66</v>
      </c>
      <c r="B21" s="58"/>
      <c r="C21" s="53">
        <f t="shared" si="1"/>
        <v>6520.64</v>
      </c>
      <c r="D21" s="54"/>
      <c r="E21" s="53">
        <v>4360.26</v>
      </c>
      <c r="F21" s="54"/>
      <c r="G21" s="53">
        <v>4043.64</v>
      </c>
      <c r="H21" s="54"/>
      <c r="I21" s="55">
        <f>'СОДЕРЖАНИЕ ЖИЛЬЯ'!I71</f>
        <v>4786.0541900000007</v>
      </c>
      <c r="J21" s="67"/>
      <c r="K21" s="57">
        <f t="shared" si="0"/>
        <v>-742.41419000000087</v>
      </c>
      <c r="L21" s="58"/>
      <c r="M21" s="41">
        <v>6839.13</v>
      </c>
    </row>
    <row r="22" spans="1:13" x14ac:dyDescent="0.3">
      <c r="A22" s="58" t="s">
        <v>67</v>
      </c>
      <c r="B22" s="58"/>
      <c r="C22" s="53">
        <f t="shared" si="1"/>
        <v>6839.13</v>
      </c>
      <c r="D22" s="54"/>
      <c r="E22" s="53">
        <v>4360.26</v>
      </c>
      <c r="F22" s="54"/>
      <c r="G22" s="53">
        <v>5095.37</v>
      </c>
      <c r="H22" s="54"/>
      <c r="I22" s="55">
        <f>'СОДЕРЖАНИЕ ЖИЛЬЯ'!I77</f>
        <v>3067.0224699999999</v>
      </c>
      <c r="J22" s="67"/>
      <c r="K22" s="57">
        <f t="shared" si="0"/>
        <v>2028.34753</v>
      </c>
      <c r="L22" s="58"/>
      <c r="M22" s="41">
        <v>6377.54</v>
      </c>
    </row>
    <row r="23" spans="1:13" x14ac:dyDescent="0.3">
      <c r="A23" s="58" t="s">
        <v>7</v>
      </c>
      <c r="B23" s="58"/>
      <c r="C23" s="53">
        <f t="shared" si="1"/>
        <v>6377.54</v>
      </c>
      <c r="D23" s="54"/>
      <c r="E23" s="53">
        <v>4360.26</v>
      </c>
      <c r="F23" s="54"/>
      <c r="G23" s="53">
        <v>4380.25</v>
      </c>
      <c r="H23" s="54"/>
      <c r="I23" s="55">
        <f>'СОДЕРЖАНИЕ ЖИЛЬЯ'!I84</f>
        <v>10216.41006</v>
      </c>
      <c r="J23" s="67"/>
      <c r="K23" s="57">
        <f t="shared" si="0"/>
        <v>-5836.1600600000002</v>
      </c>
      <c r="L23" s="58"/>
      <c r="M23" s="41">
        <v>6172.28</v>
      </c>
    </row>
    <row r="24" spans="1:13" x14ac:dyDescent="0.3">
      <c r="A24" s="62" t="s">
        <v>9</v>
      </c>
      <c r="B24" s="62"/>
      <c r="C24" s="63"/>
      <c r="D24" s="64"/>
      <c r="E24" s="61">
        <f>SUM(E12:E23)</f>
        <v>52323.060000000012</v>
      </c>
      <c r="F24" s="62"/>
      <c r="G24" s="61">
        <f>SUM(G12:G23)</f>
        <v>51794.73</v>
      </c>
      <c r="H24" s="61"/>
      <c r="I24" s="61">
        <f>SUM(I12:I23)</f>
        <v>88921.36963999999</v>
      </c>
      <c r="J24" s="61"/>
      <c r="K24" s="61">
        <f>SUM(K12:K23)</f>
        <v>-37126.639640000009</v>
      </c>
      <c r="L24" s="62"/>
      <c r="M24" s="3">
        <f>M23</f>
        <v>6172.28</v>
      </c>
    </row>
    <row r="25" spans="1:13" x14ac:dyDescent="0.3">
      <c r="A25" s="59" t="s">
        <v>57</v>
      </c>
      <c r="B25" s="60"/>
      <c r="C25" s="60"/>
      <c r="D25" s="60"/>
      <c r="E25" s="60"/>
      <c r="F25" s="60"/>
      <c r="G25" s="60"/>
      <c r="H25" s="60"/>
      <c r="I25" s="60"/>
      <c r="J25" s="60"/>
      <c r="K25" s="57">
        <f>L10+K24</f>
        <v>-89628.459640000015</v>
      </c>
      <c r="L25" s="57"/>
      <c r="M25" s="40"/>
    </row>
    <row r="26" spans="1:13" x14ac:dyDescent="0.3">
      <c r="A26" s="78" t="s">
        <v>10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x14ac:dyDescent="0.3">
      <c r="A27" s="59" t="s">
        <v>55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3">
        <v>20787.14</v>
      </c>
      <c r="M27" s="54"/>
    </row>
    <row r="28" spans="1:13" ht="53.25" customHeight="1" x14ac:dyDescent="0.3">
      <c r="A28" s="81" t="s">
        <v>1</v>
      </c>
      <c r="B28" s="81"/>
      <c r="C28" s="82" t="s">
        <v>6</v>
      </c>
      <c r="D28" s="81"/>
      <c r="E28" s="82" t="s">
        <v>2</v>
      </c>
      <c r="F28" s="81"/>
      <c r="G28" s="82" t="s">
        <v>3</v>
      </c>
      <c r="H28" s="82"/>
      <c r="I28" s="83" t="s">
        <v>4</v>
      </c>
      <c r="J28" s="83"/>
      <c r="K28" s="84" t="s">
        <v>5</v>
      </c>
      <c r="L28" s="85"/>
      <c r="M28" s="2" t="s">
        <v>8</v>
      </c>
    </row>
    <row r="29" spans="1:13" x14ac:dyDescent="0.3">
      <c r="A29" s="58" t="s">
        <v>95</v>
      </c>
      <c r="B29" s="58"/>
      <c r="C29" s="53">
        <v>5554.02</v>
      </c>
      <c r="D29" s="54"/>
      <c r="E29" s="53">
        <v>4360.2</v>
      </c>
      <c r="F29" s="54"/>
      <c r="G29" s="53">
        <v>3507.52</v>
      </c>
      <c r="H29" s="54"/>
      <c r="I29" s="57">
        <f>'РЕМОНТ ЖИЛЬЯ'!I12</f>
        <v>1329</v>
      </c>
      <c r="J29" s="57"/>
      <c r="K29" s="57">
        <f>G29-I29</f>
        <v>2178.52</v>
      </c>
      <c r="L29" s="58"/>
      <c r="M29" s="41">
        <v>6406.78</v>
      </c>
    </row>
    <row r="30" spans="1:13" x14ac:dyDescent="0.3">
      <c r="A30" s="58" t="s">
        <v>58</v>
      </c>
      <c r="B30" s="58"/>
      <c r="C30" s="53">
        <f>M29</f>
        <v>6406.78</v>
      </c>
      <c r="D30" s="54"/>
      <c r="E30" s="53">
        <v>4360.26</v>
      </c>
      <c r="F30" s="54"/>
      <c r="G30" s="53">
        <v>3232.18</v>
      </c>
      <c r="H30" s="54"/>
      <c r="I30" s="53">
        <v>0</v>
      </c>
      <c r="J30" s="54"/>
      <c r="K30" s="57">
        <f t="shared" ref="K30:K40" si="2">G30-I30</f>
        <v>3232.18</v>
      </c>
      <c r="L30" s="58"/>
      <c r="M30" s="41">
        <v>7699.53</v>
      </c>
    </row>
    <row r="31" spans="1:13" x14ac:dyDescent="0.3">
      <c r="A31" s="58" t="s">
        <v>59</v>
      </c>
      <c r="B31" s="58"/>
      <c r="C31" s="53">
        <f t="shared" ref="C31:C40" si="3">M30</f>
        <v>7699.53</v>
      </c>
      <c r="D31" s="54"/>
      <c r="E31" s="53">
        <v>4360.26</v>
      </c>
      <c r="F31" s="54"/>
      <c r="G31" s="53">
        <v>4980.4799999999996</v>
      </c>
      <c r="H31" s="54"/>
      <c r="I31" s="57">
        <v>0</v>
      </c>
      <c r="J31" s="57"/>
      <c r="K31" s="57">
        <f t="shared" si="2"/>
        <v>4980.4799999999996</v>
      </c>
      <c r="L31" s="58"/>
      <c r="M31" s="41">
        <v>6945.68</v>
      </c>
    </row>
    <row r="32" spans="1:13" x14ac:dyDescent="0.3">
      <c r="A32" s="58" t="s">
        <v>60</v>
      </c>
      <c r="B32" s="58"/>
      <c r="C32" s="53">
        <f t="shared" si="3"/>
        <v>6945.68</v>
      </c>
      <c r="D32" s="54"/>
      <c r="E32" s="53">
        <v>4360.26</v>
      </c>
      <c r="F32" s="54"/>
      <c r="G32" s="53">
        <v>3943.31</v>
      </c>
      <c r="H32" s="54"/>
      <c r="I32" s="57">
        <v>0</v>
      </c>
      <c r="J32" s="57"/>
      <c r="K32" s="57">
        <f t="shared" si="2"/>
        <v>3943.31</v>
      </c>
      <c r="L32" s="58"/>
      <c r="M32" s="41">
        <v>7331.34</v>
      </c>
    </row>
    <row r="33" spans="1:16" x14ac:dyDescent="0.3">
      <c r="A33" s="58" t="s">
        <v>61</v>
      </c>
      <c r="B33" s="58"/>
      <c r="C33" s="53">
        <f t="shared" si="3"/>
        <v>7331.34</v>
      </c>
      <c r="D33" s="54"/>
      <c r="E33" s="53">
        <v>4360.26</v>
      </c>
      <c r="F33" s="54"/>
      <c r="G33" s="53">
        <v>4734.01</v>
      </c>
      <c r="H33" s="54"/>
      <c r="I33" s="57">
        <f>'РЕМОНТ ЖИЛЬЯ'!I16</f>
        <v>2115</v>
      </c>
      <c r="J33" s="57"/>
      <c r="K33" s="57">
        <f t="shared" si="2"/>
        <v>2619.0100000000002</v>
      </c>
      <c r="L33" s="58"/>
      <c r="M33" s="41">
        <v>6957.79</v>
      </c>
    </row>
    <row r="34" spans="1:16" x14ac:dyDescent="0.3">
      <c r="A34" s="58" t="s">
        <v>62</v>
      </c>
      <c r="B34" s="58"/>
      <c r="C34" s="53">
        <f t="shared" si="3"/>
        <v>6957.79</v>
      </c>
      <c r="D34" s="54"/>
      <c r="E34" s="53">
        <v>4360.26</v>
      </c>
      <c r="F34" s="54"/>
      <c r="G34" s="53">
        <v>5099.92</v>
      </c>
      <c r="H34" s="54"/>
      <c r="I34" s="57">
        <v>0</v>
      </c>
      <c r="J34" s="57"/>
      <c r="K34" s="57">
        <f t="shared" si="2"/>
        <v>5099.92</v>
      </c>
      <c r="L34" s="58"/>
      <c r="M34" s="41">
        <v>6217.93</v>
      </c>
    </row>
    <row r="35" spans="1:16" x14ac:dyDescent="0.3">
      <c r="A35" s="58" t="s">
        <v>63</v>
      </c>
      <c r="B35" s="58"/>
      <c r="C35" s="53">
        <f t="shared" si="3"/>
        <v>6217.93</v>
      </c>
      <c r="D35" s="54"/>
      <c r="E35" s="53">
        <v>4360.26</v>
      </c>
      <c r="F35" s="54"/>
      <c r="G35" s="53">
        <v>4268.08</v>
      </c>
      <c r="H35" s="54"/>
      <c r="I35" s="57">
        <v>0</v>
      </c>
      <c r="J35" s="57"/>
      <c r="K35" s="57">
        <f t="shared" si="2"/>
        <v>4268.08</v>
      </c>
      <c r="L35" s="58"/>
      <c r="M35" s="41">
        <v>6353.34</v>
      </c>
    </row>
    <row r="36" spans="1:16" x14ac:dyDescent="0.3">
      <c r="A36" s="58" t="s">
        <v>64</v>
      </c>
      <c r="B36" s="58"/>
      <c r="C36" s="53">
        <f t="shared" si="3"/>
        <v>6353.34</v>
      </c>
      <c r="D36" s="54"/>
      <c r="E36" s="53">
        <v>4360.26</v>
      </c>
      <c r="F36" s="54"/>
      <c r="G36" s="53">
        <v>4206.7</v>
      </c>
      <c r="H36" s="54"/>
      <c r="I36" s="57">
        <v>0</v>
      </c>
      <c r="J36" s="57"/>
      <c r="K36" s="57">
        <f t="shared" si="2"/>
        <v>4206.7</v>
      </c>
      <c r="L36" s="58"/>
      <c r="M36" s="41">
        <v>6506.99</v>
      </c>
    </row>
    <row r="37" spans="1:16" x14ac:dyDescent="0.3">
      <c r="A37" s="58" t="s">
        <v>65</v>
      </c>
      <c r="B37" s="58"/>
      <c r="C37" s="53">
        <f t="shared" si="3"/>
        <v>6506.99</v>
      </c>
      <c r="D37" s="54"/>
      <c r="E37" s="53">
        <v>4360.26</v>
      </c>
      <c r="F37" s="54"/>
      <c r="G37" s="53">
        <v>4297.09</v>
      </c>
      <c r="H37" s="54"/>
      <c r="I37" s="57">
        <v>0</v>
      </c>
      <c r="J37" s="57"/>
      <c r="K37" s="57">
        <f t="shared" si="2"/>
        <v>4297.09</v>
      </c>
      <c r="L37" s="58"/>
      <c r="M37" s="41">
        <v>6526.84</v>
      </c>
    </row>
    <row r="38" spans="1:16" x14ac:dyDescent="0.3">
      <c r="A38" s="58" t="s">
        <v>66</v>
      </c>
      <c r="B38" s="58"/>
      <c r="C38" s="53">
        <f t="shared" si="3"/>
        <v>6526.84</v>
      </c>
      <c r="D38" s="54"/>
      <c r="E38" s="53">
        <v>4360.26</v>
      </c>
      <c r="F38" s="54"/>
      <c r="G38" s="53">
        <v>4048.77</v>
      </c>
      <c r="H38" s="54"/>
      <c r="I38" s="57">
        <v>0</v>
      </c>
      <c r="J38" s="57"/>
      <c r="K38" s="57">
        <f t="shared" si="2"/>
        <v>4048.77</v>
      </c>
      <c r="L38" s="58"/>
      <c r="M38" s="41">
        <v>6840.2</v>
      </c>
    </row>
    <row r="39" spans="1:16" x14ac:dyDescent="0.3">
      <c r="A39" s="58" t="s">
        <v>67</v>
      </c>
      <c r="B39" s="58"/>
      <c r="C39" s="53">
        <f t="shared" si="3"/>
        <v>6840.2</v>
      </c>
      <c r="D39" s="54"/>
      <c r="E39" s="53">
        <v>4360.26</v>
      </c>
      <c r="F39" s="54"/>
      <c r="G39" s="53">
        <v>5096.41</v>
      </c>
      <c r="H39" s="54"/>
      <c r="I39" s="57">
        <v>0</v>
      </c>
      <c r="J39" s="57"/>
      <c r="K39" s="57">
        <f t="shared" si="2"/>
        <v>5096.41</v>
      </c>
      <c r="L39" s="58"/>
      <c r="M39" s="41">
        <v>6377.56</v>
      </c>
    </row>
    <row r="40" spans="1:16" x14ac:dyDescent="0.3">
      <c r="A40" s="58" t="s">
        <v>7</v>
      </c>
      <c r="B40" s="58"/>
      <c r="C40" s="53">
        <f t="shared" si="3"/>
        <v>6377.56</v>
      </c>
      <c r="D40" s="54"/>
      <c r="E40" s="53">
        <v>4360.26</v>
      </c>
      <c r="F40" s="54"/>
      <c r="G40" s="53">
        <v>4380.2</v>
      </c>
      <c r="H40" s="54"/>
      <c r="I40" s="57">
        <v>0</v>
      </c>
      <c r="J40" s="57"/>
      <c r="K40" s="57">
        <f t="shared" si="2"/>
        <v>4380.2</v>
      </c>
      <c r="L40" s="58"/>
      <c r="M40" s="41">
        <v>6172.33</v>
      </c>
      <c r="P40" s="45"/>
    </row>
    <row r="41" spans="1:16" x14ac:dyDescent="0.3">
      <c r="A41" s="62" t="s">
        <v>9</v>
      </c>
      <c r="B41" s="62"/>
      <c r="C41" s="63"/>
      <c r="D41" s="64"/>
      <c r="E41" s="61">
        <f>SUM(E29:E40)</f>
        <v>52323.060000000012</v>
      </c>
      <c r="F41" s="62"/>
      <c r="G41" s="61">
        <f>SUM(G29:G40)</f>
        <v>51794.669999999984</v>
      </c>
      <c r="H41" s="61"/>
      <c r="I41" s="61">
        <f>SUM(I29:I40)</f>
        <v>3444</v>
      </c>
      <c r="J41" s="61"/>
      <c r="K41" s="61">
        <f>SUM(K29:K40)</f>
        <v>48350.67</v>
      </c>
      <c r="L41" s="61"/>
      <c r="M41" s="3">
        <f>M40</f>
        <v>6172.33</v>
      </c>
      <c r="O41" s="45"/>
      <c r="P41" s="45"/>
    </row>
    <row r="42" spans="1:16" x14ac:dyDescent="0.3">
      <c r="A42" s="59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65">
        <f>L27+K41</f>
        <v>69137.81</v>
      </c>
      <c r="L42" s="66"/>
      <c r="M42" s="3"/>
    </row>
    <row r="43" spans="1:16" x14ac:dyDescent="0.3">
      <c r="A43" s="93" t="s">
        <v>11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P43" s="45"/>
    </row>
    <row r="44" spans="1:16" ht="52.5" customHeight="1" x14ac:dyDescent="0.3">
      <c r="A44" s="95" t="s">
        <v>12</v>
      </c>
      <c r="B44" s="96"/>
      <c r="C44" s="96"/>
      <c r="D44" s="97"/>
      <c r="E44" s="71" t="s">
        <v>6</v>
      </c>
      <c r="F44" s="72"/>
      <c r="G44" s="72"/>
      <c r="H44" s="73"/>
      <c r="I44" s="82" t="s">
        <v>2</v>
      </c>
      <c r="J44" s="81"/>
      <c r="K44" s="82" t="s">
        <v>3</v>
      </c>
      <c r="L44" s="82"/>
      <c r="M44" s="2" t="s">
        <v>8</v>
      </c>
    </row>
    <row r="45" spans="1:16" ht="17.25" customHeight="1" x14ac:dyDescent="0.3">
      <c r="A45" s="86" t="s">
        <v>13</v>
      </c>
      <c r="B45" s="87"/>
      <c r="C45" s="87"/>
      <c r="D45" s="88"/>
      <c r="E45" s="74">
        <v>466.53</v>
      </c>
      <c r="F45" s="75"/>
      <c r="G45" s="75"/>
      <c r="H45" s="76"/>
      <c r="I45" s="101">
        <f>382.27+382.28+382.28+382.28+382.28+382.28+382.28+382.28+382.28+382.28+613.11+541.56</f>
        <v>4977.4599999999991</v>
      </c>
      <c r="J45" s="102"/>
      <c r="K45" s="89">
        <f>306.58+283.38+431.49+344.85+412.75+443.43+374.21+368.83+375.49+375.49+354.98+491.74+592.24</f>
        <v>5155.46</v>
      </c>
      <c r="L45" s="90"/>
      <c r="M45" s="4">
        <v>671.91</v>
      </c>
    </row>
    <row r="46" spans="1:16" x14ac:dyDescent="0.3">
      <c r="A46" s="59" t="s">
        <v>14</v>
      </c>
      <c r="B46" s="60"/>
      <c r="C46" s="60"/>
      <c r="D46" s="67"/>
      <c r="E46" s="53">
        <v>207.78</v>
      </c>
      <c r="F46" s="77"/>
      <c r="G46" s="77"/>
      <c r="H46" s="54"/>
      <c r="I46" s="59">
        <f>170.1+170.1+170.1+170.1+170.1+170.1+170.1+170.1+170.1+170.1+170.1+170.1</f>
        <v>2041.1999999999996</v>
      </c>
      <c r="J46" s="67"/>
      <c r="K46" s="53">
        <f>136.41+126.07+191.99+153.5+183.68+197.47+166.49+164.13+167.07+157.94+198.7+170.86</f>
        <v>2014.3100000000004</v>
      </c>
      <c r="L46" s="67"/>
      <c r="M46" s="4">
        <v>238.17</v>
      </c>
    </row>
    <row r="47" spans="1:16" x14ac:dyDescent="0.3">
      <c r="A47" s="59" t="s">
        <v>96</v>
      </c>
      <c r="B47" s="60"/>
      <c r="C47" s="60"/>
      <c r="D47" s="67"/>
      <c r="E47" s="53">
        <v>0</v>
      </c>
      <c r="F47" s="77"/>
      <c r="G47" s="77"/>
      <c r="H47" s="54"/>
      <c r="I47" s="55">
        <f>5924.37+2512.28+3340.07+123.08</f>
        <v>11899.8</v>
      </c>
      <c r="J47" s="67"/>
      <c r="K47" s="53">
        <f>1571.96+4740.99+1681.74+0.09+744.81+2332.46+600.28</f>
        <v>11672.33</v>
      </c>
      <c r="L47" s="54"/>
      <c r="M47" s="4">
        <v>335.15</v>
      </c>
    </row>
    <row r="48" spans="1:16" x14ac:dyDescent="0.3">
      <c r="A48" s="59" t="s">
        <v>15</v>
      </c>
      <c r="B48" s="60"/>
      <c r="C48" s="60"/>
      <c r="D48" s="67"/>
      <c r="E48" s="53">
        <v>3325.51</v>
      </c>
      <c r="F48" s="77"/>
      <c r="G48" s="77"/>
      <c r="H48" s="54"/>
      <c r="I48" s="59">
        <f>2738.78+2738.79+2738.79+2738.79+1027.93+1027.93+1027.93+441.15</f>
        <v>14480.090000000002</v>
      </c>
      <c r="J48" s="67"/>
      <c r="K48" s="53">
        <f>2196.41+2030.22+3091.84+2467.65+2500.03+1527.52+918.93+27.37+412.24+809.86+491.62</f>
        <v>16473.690000000002</v>
      </c>
      <c r="L48" s="67"/>
      <c r="M48" s="4">
        <v>1362.73</v>
      </c>
    </row>
    <row r="49" spans="1:13" x14ac:dyDescent="0.3">
      <c r="A49" s="94"/>
      <c r="B49" s="110"/>
      <c r="C49" s="110"/>
      <c r="D49" s="69"/>
      <c r="E49" s="68"/>
      <c r="F49" s="103"/>
      <c r="G49" s="103"/>
      <c r="H49" s="104"/>
      <c r="I49" s="68">
        <f>SUM(I45:I48)</f>
        <v>33398.550000000003</v>
      </c>
      <c r="J49" s="69"/>
      <c r="K49" s="94">
        <f>SUM(K45:K48)</f>
        <v>35315.79</v>
      </c>
      <c r="L49" s="69"/>
      <c r="M49" s="3">
        <f>SUM(M45:M48)</f>
        <v>2607.96</v>
      </c>
    </row>
    <row r="50" spans="1:13" x14ac:dyDescent="0.3">
      <c r="A50" s="46"/>
      <c r="B50" s="47"/>
      <c r="C50" s="47"/>
      <c r="D50" s="48"/>
      <c r="E50" s="49"/>
      <c r="F50" s="50"/>
      <c r="G50" s="50"/>
      <c r="H50" s="40"/>
      <c r="I50" s="49"/>
      <c r="J50" s="48"/>
      <c r="K50" s="46"/>
      <c r="L50" s="48"/>
      <c r="M50" s="40"/>
    </row>
    <row r="51" spans="1:13" x14ac:dyDescent="0.3">
      <c r="A51" s="98" t="s">
        <v>77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100"/>
      <c r="M51" s="38">
        <v>56.71</v>
      </c>
    </row>
    <row r="52" spans="1:13" x14ac:dyDescent="0.3">
      <c r="A52" s="98" t="s">
        <v>76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100"/>
      <c r="M52" s="38">
        <f>804.57+1942.56</f>
        <v>2747.13</v>
      </c>
    </row>
    <row r="53" spans="1:13" x14ac:dyDescent="0.3">
      <c r="A53" s="70" t="s">
        <v>16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51">
        <v>2468.83</v>
      </c>
    </row>
    <row r="54" spans="1:13" x14ac:dyDescent="0.3">
      <c r="A54" s="98" t="s">
        <v>56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100"/>
      <c r="M54" s="37">
        <v>81.790000000000006</v>
      </c>
    </row>
    <row r="55" spans="1:13" x14ac:dyDescent="0.3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7"/>
    </row>
    <row r="56" spans="1:13" ht="15.6" x14ac:dyDescent="0.3">
      <c r="A56" s="70" t="s">
        <v>97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6">
        <f>M24+M41+M49+M51+M52+M53+M54</f>
        <v>20307.03</v>
      </c>
    </row>
    <row r="57" spans="1:13" x14ac:dyDescent="0.3">
      <c r="A57" s="70" t="s">
        <v>17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36">
        <f>K25+K42</f>
        <v>-20490.649640000018</v>
      </c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91"/>
      <c r="B60" s="91"/>
      <c r="C60" s="91"/>
      <c r="D60" s="9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91"/>
      <c r="B61" s="91"/>
      <c r="C61" s="91"/>
      <c r="D61" s="91"/>
      <c r="K61" s="92"/>
      <c r="L61" s="92"/>
      <c r="M61" s="92"/>
    </row>
  </sheetData>
  <mergeCells count="234">
    <mergeCell ref="A47:D47"/>
    <mergeCell ref="E47:H47"/>
    <mergeCell ref="I47:J47"/>
    <mergeCell ref="K47:L47"/>
    <mergeCell ref="A5:E5"/>
    <mergeCell ref="F5:I5"/>
    <mergeCell ref="J5:M5"/>
    <mergeCell ref="A51:L51"/>
    <mergeCell ref="A52:L52"/>
    <mergeCell ref="A46:D46"/>
    <mergeCell ref="A48:D48"/>
    <mergeCell ref="A49:D49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11:B11"/>
    <mergeCell ref="C11:D11"/>
    <mergeCell ref="A60:D60"/>
    <mergeCell ref="A61:D61"/>
    <mergeCell ref="K61:M61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8:L48"/>
    <mergeCell ref="K49:L49"/>
    <mergeCell ref="A44:D44"/>
    <mergeCell ref="A54:L54"/>
    <mergeCell ref="I45:J45"/>
    <mergeCell ref="E49:H49"/>
    <mergeCell ref="I44:J44"/>
    <mergeCell ref="A55:M55"/>
    <mergeCell ref="A53:L53"/>
    <mergeCell ref="I46:J46"/>
    <mergeCell ref="I48:J48"/>
    <mergeCell ref="I49:J49"/>
    <mergeCell ref="A56:L56"/>
    <mergeCell ref="A57:L57"/>
    <mergeCell ref="A22:B22"/>
    <mergeCell ref="A23:B23"/>
    <mergeCell ref="C12:D12"/>
    <mergeCell ref="C14:D14"/>
    <mergeCell ref="C15:D15"/>
    <mergeCell ref="E44:H44"/>
    <mergeCell ref="E45:H45"/>
    <mergeCell ref="E46:H46"/>
    <mergeCell ref="E48:H48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45:D45"/>
    <mergeCell ref="K45:L45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13:B13"/>
    <mergeCell ref="C22:D22"/>
    <mergeCell ref="C23:D23"/>
    <mergeCell ref="E12:F12"/>
    <mergeCell ref="E14:F14"/>
    <mergeCell ref="E15:F15"/>
    <mergeCell ref="E16:F16"/>
    <mergeCell ref="E17:F17"/>
    <mergeCell ref="E18:F18"/>
    <mergeCell ref="E22:F22"/>
    <mergeCell ref="E23:F23"/>
    <mergeCell ref="C16:D16"/>
    <mergeCell ref="C17:D17"/>
    <mergeCell ref="C18:D18"/>
    <mergeCell ref="C19:D19"/>
    <mergeCell ref="C20:D20"/>
    <mergeCell ref="C13:D13"/>
    <mergeCell ref="E13:F13"/>
    <mergeCell ref="K12:L12"/>
    <mergeCell ref="K14:L14"/>
    <mergeCell ref="K15:L15"/>
    <mergeCell ref="K16:L16"/>
    <mergeCell ref="K17:L17"/>
    <mergeCell ref="I22:J22"/>
    <mergeCell ref="I23:J23"/>
    <mergeCell ref="G18:H18"/>
    <mergeCell ref="G19:H19"/>
    <mergeCell ref="G20:H20"/>
    <mergeCell ref="G21:H21"/>
    <mergeCell ref="G22:H22"/>
    <mergeCell ref="G12:H12"/>
    <mergeCell ref="G14:H14"/>
    <mergeCell ref="G15:H15"/>
    <mergeCell ref="G16:H16"/>
    <mergeCell ref="G17:H17"/>
    <mergeCell ref="I12:J12"/>
    <mergeCell ref="I14:J14"/>
    <mergeCell ref="I15:J15"/>
    <mergeCell ref="I16:J16"/>
    <mergeCell ref="I17:J17"/>
    <mergeCell ref="I18:J18"/>
    <mergeCell ref="I19:J19"/>
    <mergeCell ref="K31:L31"/>
    <mergeCell ref="K32:L32"/>
    <mergeCell ref="K33:L33"/>
    <mergeCell ref="G29:H29"/>
    <mergeCell ref="K18:L18"/>
    <mergeCell ref="K19:L19"/>
    <mergeCell ref="K20:L20"/>
    <mergeCell ref="K21:L21"/>
    <mergeCell ref="K22:L22"/>
    <mergeCell ref="I20:J20"/>
    <mergeCell ref="I21:J21"/>
    <mergeCell ref="G24:H24"/>
    <mergeCell ref="I24:J24"/>
    <mergeCell ref="I29:J29"/>
    <mergeCell ref="I31:J31"/>
    <mergeCell ref="I32:J32"/>
    <mergeCell ref="I33:J33"/>
    <mergeCell ref="G32:H32"/>
    <mergeCell ref="G33:H33"/>
    <mergeCell ref="C31:D31"/>
    <mergeCell ref="C32:D32"/>
    <mergeCell ref="C33:D33"/>
    <mergeCell ref="G31:H31"/>
    <mergeCell ref="G36:H36"/>
    <mergeCell ref="G37:H37"/>
    <mergeCell ref="G38:H38"/>
    <mergeCell ref="G39:H39"/>
    <mergeCell ref="G40:H40"/>
    <mergeCell ref="E34:F34"/>
    <mergeCell ref="E35:F35"/>
    <mergeCell ref="E36:F36"/>
    <mergeCell ref="E37:F37"/>
    <mergeCell ref="E38:F38"/>
    <mergeCell ref="E40:F40"/>
    <mergeCell ref="G34:H34"/>
    <mergeCell ref="G35:H35"/>
    <mergeCell ref="A31:B31"/>
    <mergeCell ref="A32:B32"/>
    <mergeCell ref="A33:B33"/>
    <mergeCell ref="E29:F29"/>
    <mergeCell ref="E31:F31"/>
    <mergeCell ref="E32:F32"/>
    <mergeCell ref="E33:F33"/>
    <mergeCell ref="K42:L42"/>
    <mergeCell ref="I39:J39"/>
    <mergeCell ref="I40:J40"/>
    <mergeCell ref="K34:L34"/>
    <mergeCell ref="K35:L35"/>
    <mergeCell ref="K36:L36"/>
    <mergeCell ref="K37:L37"/>
    <mergeCell ref="K38:L38"/>
    <mergeCell ref="K39:L39"/>
    <mergeCell ref="K40:L40"/>
    <mergeCell ref="I34:J34"/>
    <mergeCell ref="I35:J35"/>
    <mergeCell ref="I36:J36"/>
    <mergeCell ref="I37:J37"/>
    <mergeCell ref="I38:J38"/>
    <mergeCell ref="A42:J42"/>
    <mergeCell ref="E39:F39"/>
    <mergeCell ref="A39:B39"/>
    <mergeCell ref="A40:B40"/>
    <mergeCell ref="C39:D39"/>
    <mergeCell ref="C40:D40"/>
    <mergeCell ref="A34:B34"/>
    <mergeCell ref="A35:B35"/>
    <mergeCell ref="A36:B36"/>
    <mergeCell ref="A37:B37"/>
    <mergeCell ref="A38:B38"/>
    <mergeCell ref="C34:D34"/>
    <mergeCell ref="C35:D35"/>
    <mergeCell ref="C36:D36"/>
    <mergeCell ref="C37:D37"/>
    <mergeCell ref="C38:D38"/>
    <mergeCell ref="G13:H13"/>
    <mergeCell ref="I13:J13"/>
    <mergeCell ref="K13:L13"/>
    <mergeCell ref="A30:B30"/>
    <mergeCell ref="C30:D30"/>
    <mergeCell ref="E30:F30"/>
    <mergeCell ref="G30:H30"/>
    <mergeCell ref="I30:J30"/>
    <mergeCell ref="K30:L30"/>
    <mergeCell ref="C29:D29"/>
    <mergeCell ref="K23:L23"/>
    <mergeCell ref="A29:B29"/>
    <mergeCell ref="G23:H23"/>
    <mergeCell ref="A25:J25"/>
    <mergeCell ref="K25:L25"/>
    <mergeCell ref="K24:L24"/>
    <mergeCell ref="K29:L29"/>
    <mergeCell ref="A24:B24"/>
    <mergeCell ref="C24:D24"/>
    <mergeCell ref="E24:F24"/>
    <mergeCell ref="E19:F19"/>
    <mergeCell ref="E20:F20"/>
    <mergeCell ref="E21:F21"/>
    <mergeCell ref="C21:D2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90"/>
  <sheetViews>
    <sheetView zoomScaleNormal="100" workbookViewId="0">
      <selection activeCell="A89" sqref="A89:I9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5" x14ac:dyDescent="0.3">
      <c r="B1" s="7"/>
      <c r="C1" s="8"/>
      <c r="D1" s="9"/>
      <c r="E1" s="10"/>
      <c r="F1" s="10"/>
      <c r="G1" s="7"/>
      <c r="H1" s="7"/>
    </row>
    <row r="2" spans="2:15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5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5" ht="18" x14ac:dyDescent="0.35">
      <c r="B4" s="12" t="s">
        <v>120</v>
      </c>
      <c r="C4" s="12"/>
      <c r="D4" s="15"/>
      <c r="E4" s="15"/>
      <c r="F4" s="12"/>
      <c r="G4" s="13"/>
      <c r="H4" s="14"/>
      <c r="I4" s="14"/>
    </row>
    <row r="5" spans="2:15" ht="18" x14ac:dyDescent="0.35">
      <c r="B5" s="12" t="s">
        <v>98</v>
      </c>
      <c r="C5" s="12"/>
      <c r="D5" s="15"/>
      <c r="E5" s="15"/>
      <c r="F5" s="12"/>
      <c r="G5" s="13"/>
      <c r="H5" s="14"/>
      <c r="I5" s="14"/>
    </row>
    <row r="6" spans="2:15" ht="18" x14ac:dyDescent="0.35">
      <c r="B6" s="27" t="s">
        <v>78</v>
      </c>
      <c r="C6" s="27"/>
      <c r="D6" s="28"/>
      <c r="E6" s="28"/>
      <c r="F6" s="27"/>
      <c r="G6" s="29"/>
      <c r="H6" s="29"/>
      <c r="I6" s="29"/>
      <c r="J6" s="30"/>
    </row>
    <row r="7" spans="2:15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5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5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5" x14ac:dyDescent="0.3">
      <c r="B10" s="113" t="s">
        <v>99</v>
      </c>
      <c r="C10" s="114"/>
      <c r="D10" s="114"/>
      <c r="E10" s="114"/>
      <c r="F10" s="114"/>
      <c r="G10" s="114"/>
      <c r="H10" s="114"/>
      <c r="I10" s="115"/>
    </row>
    <row r="11" spans="2:15" ht="26.4" x14ac:dyDescent="0.3">
      <c r="B11" s="19">
        <v>1</v>
      </c>
      <c r="C11" s="43">
        <v>44957</v>
      </c>
      <c r="D11" s="111" t="s">
        <v>30</v>
      </c>
      <c r="E11" s="112"/>
      <c r="F11" s="24" t="s">
        <v>28</v>
      </c>
      <c r="G11" s="25" t="s">
        <v>29</v>
      </c>
      <c r="H11" s="25">
        <v>800.04</v>
      </c>
      <c r="I11" s="26">
        <f>H11*2.7</f>
        <v>2160.1080000000002</v>
      </c>
    </row>
    <row r="12" spans="2:15" ht="26.4" x14ac:dyDescent="0.3">
      <c r="B12" s="19">
        <v>2</v>
      </c>
      <c r="C12" s="43">
        <v>44957</v>
      </c>
      <c r="D12" s="111" t="s">
        <v>30</v>
      </c>
      <c r="E12" s="112"/>
      <c r="F12" s="24" t="s">
        <v>32</v>
      </c>
      <c r="G12" s="25" t="s">
        <v>31</v>
      </c>
      <c r="H12" s="25">
        <v>1</v>
      </c>
      <c r="I12" s="26">
        <f>(15651.79*1.9%)+(12582.78*1.6%)</f>
        <v>498.70848999999998</v>
      </c>
      <c r="O12" s="44"/>
    </row>
    <row r="13" spans="2:15" ht="26.4" x14ac:dyDescent="0.3">
      <c r="B13" s="19">
        <v>3</v>
      </c>
      <c r="C13" s="43">
        <v>44957</v>
      </c>
      <c r="D13" s="111" t="s">
        <v>30</v>
      </c>
      <c r="E13" s="112"/>
      <c r="F13" s="24" t="s">
        <v>102</v>
      </c>
      <c r="G13" s="25" t="s">
        <v>69</v>
      </c>
      <c r="H13" s="25">
        <v>1</v>
      </c>
      <c r="I13" s="26">
        <v>500</v>
      </c>
    </row>
    <row r="14" spans="2:15" ht="52.8" x14ac:dyDescent="0.3">
      <c r="B14" s="19">
        <v>4</v>
      </c>
      <c r="C14" s="43">
        <v>44958</v>
      </c>
      <c r="D14" s="111" t="s">
        <v>30</v>
      </c>
      <c r="E14" s="112"/>
      <c r="F14" s="52" t="s">
        <v>156</v>
      </c>
      <c r="G14" s="25" t="s">
        <v>69</v>
      </c>
      <c r="H14" s="25">
        <v>1</v>
      </c>
      <c r="I14" s="26">
        <f>800.04*0.05</f>
        <v>40.002000000000002</v>
      </c>
    </row>
    <row r="15" spans="2:15" ht="30.75" customHeight="1" x14ac:dyDescent="0.3">
      <c r="B15" s="19">
        <v>5</v>
      </c>
      <c r="C15" s="43">
        <v>44957</v>
      </c>
      <c r="D15" s="111" t="s">
        <v>30</v>
      </c>
      <c r="E15" s="112"/>
      <c r="F15" s="24" t="s">
        <v>101</v>
      </c>
      <c r="G15" s="25" t="s">
        <v>31</v>
      </c>
      <c r="H15" s="25">
        <v>1</v>
      </c>
      <c r="I15" s="26">
        <v>589</v>
      </c>
    </row>
    <row r="16" spans="2:15" x14ac:dyDescent="0.3">
      <c r="B16" s="116" t="s">
        <v>107</v>
      </c>
      <c r="C16" s="117"/>
      <c r="D16" s="117"/>
      <c r="E16" s="117"/>
      <c r="F16" s="117"/>
      <c r="G16" s="117"/>
      <c r="H16" s="118"/>
      <c r="I16" s="42">
        <f>SUM(I11:I15)</f>
        <v>3787.8184900000001</v>
      </c>
    </row>
    <row r="17" spans="2:13" x14ac:dyDescent="0.3">
      <c r="B17" s="113" t="s">
        <v>114</v>
      </c>
      <c r="C17" s="114"/>
      <c r="D17" s="114"/>
      <c r="E17" s="114"/>
      <c r="F17" s="114"/>
      <c r="G17" s="114"/>
      <c r="H17" s="114"/>
      <c r="I17" s="115"/>
    </row>
    <row r="18" spans="2:13" ht="26.4" x14ac:dyDescent="0.3">
      <c r="B18" s="19">
        <v>1</v>
      </c>
      <c r="C18" s="20" t="s">
        <v>109</v>
      </c>
      <c r="D18" s="111" t="s">
        <v>30</v>
      </c>
      <c r="E18" s="112"/>
      <c r="F18" s="24" t="s">
        <v>28</v>
      </c>
      <c r="G18" s="25" t="s">
        <v>29</v>
      </c>
      <c r="H18" s="25">
        <v>800.04</v>
      </c>
      <c r="I18" s="26">
        <f>H18*2.7</f>
        <v>2160.1080000000002</v>
      </c>
    </row>
    <row r="19" spans="2:13" ht="52.8" x14ac:dyDescent="0.3">
      <c r="B19" s="19">
        <v>2</v>
      </c>
      <c r="C19" s="20" t="s">
        <v>109</v>
      </c>
      <c r="D19" s="111" t="s">
        <v>30</v>
      </c>
      <c r="E19" s="112"/>
      <c r="F19" s="52" t="s">
        <v>156</v>
      </c>
      <c r="G19" s="25" t="s">
        <v>69</v>
      </c>
      <c r="H19" s="25">
        <v>1</v>
      </c>
      <c r="I19" s="26">
        <f>800.04*0.05</f>
        <v>40.002000000000002</v>
      </c>
    </row>
    <row r="20" spans="2:13" ht="26.4" x14ac:dyDescent="0.3">
      <c r="B20" s="19">
        <v>3</v>
      </c>
      <c r="C20" s="20" t="s">
        <v>109</v>
      </c>
      <c r="D20" s="111" t="s">
        <v>30</v>
      </c>
      <c r="E20" s="112"/>
      <c r="F20" s="24" t="s">
        <v>32</v>
      </c>
      <c r="G20" s="25" t="s">
        <v>31</v>
      </c>
      <c r="H20" s="25">
        <v>1</v>
      </c>
      <c r="I20" s="26">
        <f>(15651.99*1.9%)+(11600.4*1.6%)</f>
        <v>482.99421000000001</v>
      </c>
    </row>
    <row r="21" spans="2:13" x14ac:dyDescent="0.3">
      <c r="B21" s="116" t="s">
        <v>100</v>
      </c>
      <c r="C21" s="117"/>
      <c r="D21" s="117"/>
      <c r="E21" s="117"/>
      <c r="F21" s="117"/>
      <c r="G21" s="117"/>
      <c r="H21" s="118"/>
      <c r="I21" s="42">
        <f>SUM(I18:I20)</f>
        <v>2683.10421</v>
      </c>
    </row>
    <row r="22" spans="2:13" x14ac:dyDescent="0.3">
      <c r="B22" s="113" t="s">
        <v>108</v>
      </c>
      <c r="C22" s="114"/>
      <c r="D22" s="114"/>
      <c r="E22" s="114"/>
      <c r="F22" s="114"/>
      <c r="G22" s="114"/>
      <c r="H22" s="114"/>
      <c r="I22" s="115"/>
    </row>
    <row r="23" spans="2:13" ht="26.4" x14ac:dyDescent="0.3">
      <c r="B23" s="19">
        <v>1</v>
      </c>
      <c r="C23" s="20" t="s">
        <v>115</v>
      </c>
      <c r="D23" s="111" t="s">
        <v>30</v>
      </c>
      <c r="E23" s="112"/>
      <c r="F23" s="24" t="s">
        <v>28</v>
      </c>
      <c r="G23" s="25" t="s">
        <v>29</v>
      </c>
      <c r="H23" s="25">
        <v>800.04</v>
      </c>
      <c r="I23" s="26">
        <f>H23*2.7</f>
        <v>2160.1080000000002</v>
      </c>
    </row>
    <row r="24" spans="2:13" ht="26.4" x14ac:dyDescent="0.3">
      <c r="B24" s="19">
        <v>2</v>
      </c>
      <c r="C24" s="20" t="s">
        <v>115</v>
      </c>
      <c r="D24" s="111" t="s">
        <v>30</v>
      </c>
      <c r="E24" s="112"/>
      <c r="F24" s="24" t="s">
        <v>32</v>
      </c>
      <c r="G24" s="25" t="s">
        <v>31</v>
      </c>
      <c r="H24" s="25">
        <v>1</v>
      </c>
      <c r="I24" s="26">
        <f>(15852.01*1.9%)+(17879.56*1.6%)</f>
        <v>587.26115000000004</v>
      </c>
    </row>
    <row r="25" spans="2:13" ht="52.8" x14ac:dyDescent="0.3">
      <c r="B25" s="19">
        <v>3</v>
      </c>
      <c r="C25" s="20" t="s">
        <v>115</v>
      </c>
      <c r="D25" s="111" t="s">
        <v>30</v>
      </c>
      <c r="E25" s="112"/>
      <c r="F25" s="52" t="s">
        <v>156</v>
      </c>
      <c r="G25" s="25" t="s">
        <v>69</v>
      </c>
      <c r="H25" s="25">
        <v>1</v>
      </c>
      <c r="I25" s="26">
        <f>800.04*0.05</f>
        <v>40.002000000000002</v>
      </c>
    </row>
    <row r="26" spans="2:13" ht="30.75" customHeight="1" x14ac:dyDescent="0.3">
      <c r="B26" s="19">
        <v>4</v>
      </c>
      <c r="C26" s="20" t="s">
        <v>115</v>
      </c>
      <c r="D26" s="111" t="s">
        <v>30</v>
      </c>
      <c r="E26" s="112"/>
      <c r="F26" s="24" t="s">
        <v>68</v>
      </c>
      <c r="G26" s="25" t="s">
        <v>31</v>
      </c>
      <c r="H26" s="25">
        <v>1</v>
      </c>
      <c r="I26" s="26">
        <v>5270</v>
      </c>
    </row>
    <row r="27" spans="2:13" x14ac:dyDescent="0.3">
      <c r="B27" s="116" t="s">
        <v>110</v>
      </c>
      <c r="C27" s="117"/>
      <c r="D27" s="117"/>
      <c r="E27" s="117"/>
      <c r="F27" s="117"/>
      <c r="G27" s="117"/>
      <c r="H27" s="118"/>
      <c r="I27" s="42">
        <f>SUM(I23:I26)</f>
        <v>8057.3711500000009</v>
      </c>
    </row>
    <row r="28" spans="2:13" x14ac:dyDescent="0.3">
      <c r="B28" s="113" t="s">
        <v>112</v>
      </c>
      <c r="C28" s="114"/>
      <c r="D28" s="114"/>
      <c r="E28" s="114"/>
      <c r="F28" s="114"/>
      <c r="G28" s="114"/>
      <c r="H28" s="114"/>
      <c r="I28" s="115"/>
    </row>
    <row r="29" spans="2:13" ht="26.4" x14ac:dyDescent="0.3">
      <c r="B29" s="19">
        <v>1</v>
      </c>
      <c r="C29" s="20" t="s">
        <v>113</v>
      </c>
      <c r="D29" s="111" t="s">
        <v>30</v>
      </c>
      <c r="E29" s="112"/>
      <c r="F29" s="24" t="s">
        <v>28</v>
      </c>
      <c r="G29" s="25" t="s">
        <v>29</v>
      </c>
      <c r="H29" s="25">
        <v>800.04</v>
      </c>
      <c r="I29" s="26">
        <f>H29*2.7</f>
        <v>2160.1080000000002</v>
      </c>
    </row>
    <row r="30" spans="2:13" ht="26.4" x14ac:dyDescent="0.3">
      <c r="B30" s="19">
        <v>2</v>
      </c>
      <c r="C30" s="20" t="s">
        <v>113</v>
      </c>
      <c r="D30" s="111" t="s">
        <v>30</v>
      </c>
      <c r="E30" s="112"/>
      <c r="F30" s="24" t="s">
        <v>32</v>
      </c>
      <c r="G30" s="25" t="s">
        <v>31</v>
      </c>
      <c r="H30" s="25">
        <v>1</v>
      </c>
      <c r="I30" s="26">
        <f>(15852.04*1.9%)+(14323.62*1.6%)</f>
        <v>530.36668000000009</v>
      </c>
      <c r="M30" s="44"/>
    </row>
    <row r="31" spans="2:13" ht="52.8" x14ac:dyDescent="0.3">
      <c r="B31" s="19">
        <v>3</v>
      </c>
      <c r="C31" s="20" t="s">
        <v>113</v>
      </c>
      <c r="D31" s="111" t="s">
        <v>30</v>
      </c>
      <c r="E31" s="112"/>
      <c r="F31" s="52" t="s">
        <v>156</v>
      </c>
      <c r="G31" s="25" t="s">
        <v>69</v>
      </c>
      <c r="H31" s="25">
        <v>1</v>
      </c>
      <c r="I31" s="26">
        <f>800.04*0.05</f>
        <v>40.002000000000002</v>
      </c>
    </row>
    <row r="32" spans="2:13" ht="39.6" x14ac:dyDescent="0.3">
      <c r="B32" s="19">
        <v>4</v>
      </c>
      <c r="C32" s="20" t="s">
        <v>113</v>
      </c>
      <c r="D32" s="111" t="s">
        <v>30</v>
      </c>
      <c r="E32" s="112"/>
      <c r="F32" s="24" t="s">
        <v>111</v>
      </c>
      <c r="G32" s="25" t="s">
        <v>69</v>
      </c>
      <c r="H32" s="25">
        <v>1</v>
      </c>
      <c r="I32" s="26">
        <v>900</v>
      </c>
      <c r="M32" s="44"/>
    </row>
    <row r="33" spans="2:9" x14ac:dyDescent="0.3">
      <c r="B33" s="116" t="s">
        <v>116</v>
      </c>
      <c r="C33" s="117"/>
      <c r="D33" s="117"/>
      <c r="E33" s="117"/>
      <c r="F33" s="117"/>
      <c r="G33" s="117"/>
      <c r="H33" s="118"/>
      <c r="I33" s="42">
        <f>SUM(I29:I32)</f>
        <v>3630.4766800000002</v>
      </c>
    </row>
    <row r="34" spans="2:9" x14ac:dyDescent="0.3">
      <c r="B34" s="113" t="s">
        <v>117</v>
      </c>
      <c r="C34" s="114"/>
      <c r="D34" s="114"/>
      <c r="E34" s="114"/>
      <c r="F34" s="114"/>
      <c r="G34" s="114"/>
      <c r="H34" s="114"/>
      <c r="I34" s="115"/>
    </row>
    <row r="35" spans="2:9" ht="26.4" x14ac:dyDescent="0.3">
      <c r="B35" s="19">
        <v>1</v>
      </c>
      <c r="C35" s="20" t="s">
        <v>119</v>
      </c>
      <c r="D35" s="111" t="s">
        <v>30</v>
      </c>
      <c r="E35" s="112"/>
      <c r="F35" s="24" t="s">
        <v>28</v>
      </c>
      <c r="G35" s="25" t="s">
        <v>29</v>
      </c>
      <c r="H35" s="25">
        <v>800.04</v>
      </c>
      <c r="I35" s="26">
        <f>H35*2.7</f>
        <v>2160.1080000000002</v>
      </c>
    </row>
    <row r="36" spans="2:9" ht="52.8" x14ac:dyDescent="0.3">
      <c r="B36" s="19">
        <v>2</v>
      </c>
      <c r="C36" s="20" t="s">
        <v>119</v>
      </c>
      <c r="D36" s="111" t="s">
        <v>30</v>
      </c>
      <c r="E36" s="112"/>
      <c r="F36" s="52" t="s">
        <v>156</v>
      </c>
      <c r="G36" s="25" t="s">
        <v>69</v>
      </c>
      <c r="H36" s="25">
        <v>1</v>
      </c>
      <c r="I36" s="26">
        <f>800.04*0.05</f>
        <v>40.002000000000002</v>
      </c>
    </row>
    <row r="37" spans="2:9" ht="26.4" x14ac:dyDescent="0.3">
      <c r="B37" s="19">
        <v>3</v>
      </c>
      <c r="C37" s="20" t="s">
        <v>119</v>
      </c>
      <c r="D37" s="111" t="s">
        <v>30</v>
      </c>
      <c r="E37" s="112"/>
      <c r="F37" s="24" t="s">
        <v>118</v>
      </c>
      <c r="G37" s="25" t="s">
        <v>69</v>
      </c>
      <c r="H37" s="25">
        <v>1</v>
      </c>
      <c r="I37" s="26">
        <v>16638</v>
      </c>
    </row>
    <row r="38" spans="2:9" ht="26.4" x14ac:dyDescent="0.3">
      <c r="B38" s="19">
        <v>4</v>
      </c>
      <c r="C38" s="20" t="s">
        <v>119</v>
      </c>
      <c r="D38" s="111" t="s">
        <v>30</v>
      </c>
      <c r="E38" s="112"/>
      <c r="F38" s="24" t="s">
        <v>32</v>
      </c>
      <c r="G38" s="25" t="s">
        <v>31</v>
      </c>
      <c r="H38" s="25">
        <v>1</v>
      </c>
      <c r="I38" s="26">
        <f>(20065.52*1.9%)+(18292.76*1.6%)</f>
        <v>673.92903999999999</v>
      </c>
    </row>
    <row r="39" spans="2:9" x14ac:dyDescent="0.3">
      <c r="B39" s="116" t="s">
        <v>123</v>
      </c>
      <c r="C39" s="117"/>
      <c r="D39" s="117"/>
      <c r="E39" s="117"/>
      <c r="F39" s="117"/>
      <c r="G39" s="117"/>
      <c r="H39" s="118"/>
      <c r="I39" s="42">
        <f>SUM(I35:I38)</f>
        <v>19512.03904</v>
      </c>
    </row>
    <row r="40" spans="2:9" x14ac:dyDescent="0.3">
      <c r="B40" s="113" t="s">
        <v>124</v>
      </c>
      <c r="C40" s="114"/>
      <c r="D40" s="114"/>
      <c r="E40" s="114"/>
      <c r="F40" s="114"/>
      <c r="G40" s="114"/>
      <c r="H40" s="114"/>
      <c r="I40" s="115"/>
    </row>
    <row r="41" spans="2:9" ht="26.4" x14ac:dyDescent="0.3">
      <c r="B41" s="19">
        <v>1</v>
      </c>
      <c r="C41" s="20" t="s">
        <v>125</v>
      </c>
      <c r="D41" s="111" t="s">
        <v>30</v>
      </c>
      <c r="E41" s="112"/>
      <c r="F41" s="24" t="s">
        <v>28</v>
      </c>
      <c r="G41" s="25" t="s">
        <v>29</v>
      </c>
      <c r="H41" s="25">
        <v>800.04</v>
      </c>
      <c r="I41" s="26">
        <f>H41*2.7</f>
        <v>2160.1080000000002</v>
      </c>
    </row>
    <row r="42" spans="2:9" ht="52.8" x14ac:dyDescent="0.3">
      <c r="B42" s="19">
        <v>2</v>
      </c>
      <c r="C42" s="20" t="s">
        <v>125</v>
      </c>
      <c r="D42" s="111" t="s">
        <v>30</v>
      </c>
      <c r="E42" s="112"/>
      <c r="F42" s="52" t="s">
        <v>156</v>
      </c>
      <c r="G42" s="25" t="s">
        <v>69</v>
      </c>
      <c r="H42" s="25">
        <v>1</v>
      </c>
      <c r="I42" s="26">
        <f>800.04*0.05</f>
        <v>40.002000000000002</v>
      </c>
    </row>
    <row r="43" spans="2:9" ht="26.4" x14ac:dyDescent="0.3">
      <c r="B43" s="19">
        <v>3</v>
      </c>
      <c r="C43" s="20" t="s">
        <v>125</v>
      </c>
      <c r="D43" s="111" t="s">
        <v>30</v>
      </c>
      <c r="E43" s="112"/>
      <c r="F43" s="24" t="s">
        <v>32</v>
      </c>
      <c r="G43" s="25" t="s">
        <v>31</v>
      </c>
      <c r="H43" s="25">
        <v>1</v>
      </c>
      <c r="I43" s="26">
        <f>(16653.43*1.9%)+(21567.36*1.6%)</f>
        <v>661.49293</v>
      </c>
    </row>
    <row r="44" spans="2:9" ht="26.4" x14ac:dyDescent="0.3">
      <c r="B44" s="19">
        <v>4</v>
      </c>
      <c r="C44" s="20" t="s">
        <v>125</v>
      </c>
      <c r="D44" s="111" t="s">
        <v>30</v>
      </c>
      <c r="E44" s="112"/>
      <c r="F44" s="24" t="s">
        <v>126</v>
      </c>
      <c r="G44" s="25" t="s">
        <v>69</v>
      </c>
      <c r="H44" s="25">
        <v>1</v>
      </c>
      <c r="I44" s="26">
        <v>1700</v>
      </c>
    </row>
    <row r="45" spans="2:9" ht="30.75" customHeight="1" x14ac:dyDescent="0.3">
      <c r="B45" s="19">
        <v>5</v>
      </c>
      <c r="C45" s="20" t="s">
        <v>125</v>
      </c>
      <c r="D45" s="111" t="s">
        <v>30</v>
      </c>
      <c r="E45" s="112"/>
      <c r="F45" s="24" t="s">
        <v>127</v>
      </c>
      <c r="G45" s="25" t="s">
        <v>31</v>
      </c>
      <c r="H45" s="25">
        <v>1</v>
      </c>
      <c r="I45" s="26">
        <v>500</v>
      </c>
    </row>
    <row r="46" spans="2:9" ht="30.75" customHeight="1" x14ac:dyDescent="0.3">
      <c r="B46" s="19">
        <v>6</v>
      </c>
      <c r="C46" s="20" t="s">
        <v>125</v>
      </c>
      <c r="D46" s="111" t="s">
        <v>30</v>
      </c>
      <c r="E46" s="112"/>
      <c r="F46" s="24" t="s">
        <v>128</v>
      </c>
      <c r="G46" s="25" t="s">
        <v>69</v>
      </c>
      <c r="H46" s="25">
        <v>1</v>
      </c>
      <c r="I46" s="26">
        <v>4857</v>
      </c>
    </row>
    <row r="47" spans="2:9" x14ac:dyDescent="0.3">
      <c r="B47" s="116" t="s">
        <v>129</v>
      </c>
      <c r="C47" s="117"/>
      <c r="D47" s="117"/>
      <c r="E47" s="117"/>
      <c r="F47" s="117"/>
      <c r="G47" s="117"/>
      <c r="H47" s="118"/>
      <c r="I47" s="42">
        <f>SUM(I41:I46)</f>
        <v>9918.6029300000009</v>
      </c>
    </row>
    <row r="48" spans="2:9" x14ac:dyDescent="0.3">
      <c r="B48" s="113" t="s">
        <v>130</v>
      </c>
      <c r="C48" s="114"/>
      <c r="D48" s="114"/>
      <c r="E48" s="114"/>
      <c r="F48" s="114"/>
      <c r="G48" s="114"/>
      <c r="H48" s="114"/>
      <c r="I48" s="115"/>
    </row>
    <row r="49" spans="2:9" ht="26.4" x14ac:dyDescent="0.3">
      <c r="B49" s="19">
        <v>1</v>
      </c>
      <c r="C49" s="20" t="s">
        <v>132</v>
      </c>
      <c r="D49" s="111" t="s">
        <v>30</v>
      </c>
      <c r="E49" s="112"/>
      <c r="F49" s="24" t="s">
        <v>28</v>
      </c>
      <c r="G49" s="25" t="s">
        <v>29</v>
      </c>
      <c r="H49" s="25">
        <v>800.04</v>
      </c>
      <c r="I49" s="26">
        <f>H49*2.7</f>
        <v>2160.1080000000002</v>
      </c>
    </row>
    <row r="50" spans="2:9" ht="26.4" x14ac:dyDescent="0.3">
      <c r="B50" s="19">
        <v>2</v>
      </c>
      <c r="C50" s="20" t="s">
        <v>132</v>
      </c>
      <c r="D50" s="111" t="s">
        <v>30</v>
      </c>
      <c r="E50" s="112"/>
      <c r="F50" s="24" t="s">
        <v>133</v>
      </c>
      <c r="G50" s="25" t="s">
        <v>69</v>
      </c>
      <c r="H50" s="25">
        <v>1</v>
      </c>
      <c r="I50" s="26">
        <v>3000</v>
      </c>
    </row>
    <row r="51" spans="2:9" ht="52.8" x14ac:dyDescent="0.3">
      <c r="B51" s="19">
        <v>3</v>
      </c>
      <c r="C51" s="20" t="s">
        <v>132</v>
      </c>
      <c r="D51" s="111" t="s">
        <v>30</v>
      </c>
      <c r="E51" s="112"/>
      <c r="F51" s="52" t="s">
        <v>156</v>
      </c>
      <c r="G51" s="25" t="s">
        <v>69</v>
      </c>
      <c r="H51" s="25">
        <v>1</v>
      </c>
      <c r="I51" s="26">
        <f>800.04*0.05</f>
        <v>40.002000000000002</v>
      </c>
    </row>
    <row r="52" spans="2:9" ht="39.6" x14ac:dyDescent="0.3">
      <c r="B52" s="19">
        <v>4</v>
      </c>
      <c r="C52" s="20" t="s">
        <v>132</v>
      </c>
      <c r="D52" s="111" t="s">
        <v>30</v>
      </c>
      <c r="E52" s="112"/>
      <c r="F52" s="24" t="s">
        <v>134</v>
      </c>
      <c r="G52" s="25" t="s">
        <v>69</v>
      </c>
      <c r="H52" s="25">
        <v>1</v>
      </c>
      <c r="I52" s="26">
        <v>7467</v>
      </c>
    </row>
    <row r="53" spans="2:9" ht="26.4" x14ac:dyDescent="0.3">
      <c r="B53" s="19">
        <v>5</v>
      </c>
      <c r="C53" s="20" t="s">
        <v>132</v>
      </c>
      <c r="D53" s="111" t="s">
        <v>30</v>
      </c>
      <c r="E53" s="112"/>
      <c r="F53" s="24" t="s">
        <v>32</v>
      </c>
      <c r="G53" s="25" t="s">
        <v>31</v>
      </c>
      <c r="H53" s="25">
        <v>1</v>
      </c>
      <c r="I53" s="26">
        <f>(13113.22*1.9%)+(15418.26*1.6%)</f>
        <v>495.84334000000001</v>
      </c>
    </row>
    <row r="54" spans="2:9" x14ac:dyDescent="0.3">
      <c r="B54" s="116" t="s">
        <v>131</v>
      </c>
      <c r="C54" s="117"/>
      <c r="D54" s="117"/>
      <c r="E54" s="117"/>
      <c r="F54" s="117"/>
      <c r="G54" s="117"/>
      <c r="H54" s="118"/>
      <c r="I54" s="42">
        <f>SUM(I49:I53)</f>
        <v>13162.95334</v>
      </c>
    </row>
    <row r="55" spans="2:9" x14ac:dyDescent="0.3">
      <c r="B55" s="113" t="s">
        <v>135</v>
      </c>
      <c r="C55" s="114"/>
      <c r="D55" s="114"/>
      <c r="E55" s="114"/>
      <c r="F55" s="114"/>
      <c r="G55" s="114"/>
      <c r="H55" s="114"/>
      <c r="I55" s="115"/>
    </row>
    <row r="56" spans="2:9" ht="26.4" x14ac:dyDescent="0.3">
      <c r="B56" s="19">
        <v>1</v>
      </c>
      <c r="C56" s="20" t="s">
        <v>137</v>
      </c>
      <c r="D56" s="111" t="s">
        <v>30</v>
      </c>
      <c r="E56" s="112"/>
      <c r="F56" s="24" t="s">
        <v>28</v>
      </c>
      <c r="G56" s="25" t="s">
        <v>29</v>
      </c>
      <c r="H56" s="25">
        <v>800.04</v>
      </c>
      <c r="I56" s="26">
        <f>H56*2.7</f>
        <v>2160.1080000000002</v>
      </c>
    </row>
    <row r="57" spans="2:9" ht="52.8" x14ac:dyDescent="0.3">
      <c r="B57" s="19">
        <v>2</v>
      </c>
      <c r="C57" s="20" t="s">
        <v>137</v>
      </c>
      <c r="D57" s="111" t="s">
        <v>30</v>
      </c>
      <c r="E57" s="112"/>
      <c r="F57" s="52" t="s">
        <v>156</v>
      </c>
      <c r="G57" s="25" t="s">
        <v>69</v>
      </c>
      <c r="H57" s="25">
        <v>1</v>
      </c>
      <c r="I57" s="26">
        <f>800.04*0.05</f>
        <v>40.002000000000002</v>
      </c>
    </row>
    <row r="58" spans="2:9" ht="26.4" x14ac:dyDescent="0.3">
      <c r="B58" s="19">
        <v>3</v>
      </c>
      <c r="C58" s="20" t="s">
        <v>137</v>
      </c>
      <c r="D58" s="111" t="s">
        <v>30</v>
      </c>
      <c r="E58" s="112"/>
      <c r="F58" s="24" t="s">
        <v>32</v>
      </c>
      <c r="G58" s="25" t="s">
        <v>31</v>
      </c>
      <c r="H58" s="25">
        <v>1</v>
      </c>
      <c r="I58" s="26">
        <f>(13113.22*1.9%)+(12679.02*1.6%)</f>
        <v>452.01549999999997</v>
      </c>
    </row>
    <row r="59" spans="2:9" ht="12.75" customHeight="1" x14ac:dyDescent="0.3">
      <c r="B59" s="116" t="s">
        <v>136</v>
      </c>
      <c r="C59" s="117"/>
      <c r="D59" s="117"/>
      <c r="E59" s="117"/>
      <c r="F59" s="117"/>
      <c r="G59" s="117"/>
      <c r="H59" s="118"/>
      <c r="I59" s="42">
        <f>SUM(I56:I58)</f>
        <v>2652.1255000000001</v>
      </c>
    </row>
    <row r="60" spans="2:9" x14ac:dyDescent="0.3">
      <c r="B60" s="113" t="s">
        <v>138</v>
      </c>
      <c r="C60" s="114"/>
      <c r="D60" s="114"/>
      <c r="E60" s="114"/>
      <c r="F60" s="114"/>
      <c r="G60" s="114"/>
      <c r="H60" s="114"/>
      <c r="I60" s="115"/>
    </row>
    <row r="61" spans="2:9" ht="26.4" x14ac:dyDescent="0.3">
      <c r="B61" s="19">
        <v>1</v>
      </c>
      <c r="C61" s="20" t="s">
        <v>141</v>
      </c>
      <c r="D61" s="111" t="s">
        <v>30</v>
      </c>
      <c r="E61" s="112"/>
      <c r="F61" s="24" t="s">
        <v>28</v>
      </c>
      <c r="G61" s="25" t="s">
        <v>29</v>
      </c>
      <c r="H61" s="25">
        <v>800.04</v>
      </c>
      <c r="I61" s="26">
        <f>H61*2.7</f>
        <v>2160.1080000000002</v>
      </c>
    </row>
    <row r="62" spans="2:9" ht="52.8" x14ac:dyDescent="0.3">
      <c r="B62" s="19">
        <v>2</v>
      </c>
      <c r="C62" s="20" t="s">
        <v>141</v>
      </c>
      <c r="D62" s="111" t="s">
        <v>30</v>
      </c>
      <c r="E62" s="112"/>
      <c r="F62" s="52" t="s">
        <v>156</v>
      </c>
      <c r="G62" s="25" t="s">
        <v>69</v>
      </c>
      <c r="H62" s="25">
        <v>1</v>
      </c>
      <c r="I62" s="26">
        <f>800.04*0.05</f>
        <v>40.002000000000002</v>
      </c>
    </row>
    <row r="63" spans="2:9" ht="26.4" x14ac:dyDescent="0.3">
      <c r="B63" s="19">
        <v>3</v>
      </c>
      <c r="C63" s="20" t="s">
        <v>141</v>
      </c>
      <c r="D63" s="111" t="s">
        <v>30</v>
      </c>
      <c r="E63" s="112"/>
      <c r="F63" s="24" t="s">
        <v>140</v>
      </c>
      <c r="G63" s="25" t="s">
        <v>69</v>
      </c>
      <c r="H63" s="25">
        <v>1</v>
      </c>
      <c r="I63" s="26">
        <v>4690</v>
      </c>
    </row>
    <row r="64" spans="2:9" ht="26.4" x14ac:dyDescent="0.3">
      <c r="B64" s="19">
        <v>4</v>
      </c>
      <c r="C64" s="20" t="s">
        <v>141</v>
      </c>
      <c r="D64" s="111" t="s">
        <v>30</v>
      </c>
      <c r="E64" s="112"/>
      <c r="F64" s="24" t="s">
        <v>32</v>
      </c>
      <c r="G64" s="25" t="s">
        <v>31</v>
      </c>
      <c r="H64" s="25">
        <v>1</v>
      </c>
      <c r="I64" s="26">
        <f>(17481.22*1.9%)+(14071.15*1.6%)</f>
        <v>557.28158000000008</v>
      </c>
    </row>
    <row r="65" spans="2:15" x14ac:dyDescent="0.3">
      <c r="B65" s="116" t="s">
        <v>139</v>
      </c>
      <c r="C65" s="117"/>
      <c r="D65" s="117"/>
      <c r="E65" s="117"/>
      <c r="F65" s="117"/>
      <c r="G65" s="117"/>
      <c r="H65" s="118"/>
      <c r="I65" s="42">
        <f>SUM(I61:I64)</f>
        <v>7447.3915800000004</v>
      </c>
    </row>
    <row r="66" spans="2:15" x14ac:dyDescent="0.3">
      <c r="B66" s="113" t="s">
        <v>142</v>
      </c>
      <c r="C66" s="114"/>
      <c r="D66" s="114"/>
      <c r="E66" s="114"/>
      <c r="F66" s="114"/>
      <c r="G66" s="114"/>
      <c r="H66" s="114"/>
      <c r="I66" s="115"/>
    </row>
    <row r="67" spans="2:15" ht="26.4" x14ac:dyDescent="0.3">
      <c r="B67" s="19">
        <v>1</v>
      </c>
      <c r="C67" s="20" t="s">
        <v>143</v>
      </c>
      <c r="D67" s="111" t="s">
        <v>30</v>
      </c>
      <c r="E67" s="112"/>
      <c r="F67" s="24" t="s">
        <v>28</v>
      </c>
      <c r="G67" s="25" t="s">
        <v>29</v>
      </c>
      <c r="H67" s="25">
        <v>800.04</v>
      </c>
      <c r="I67" s="26">
        <f>H67*2.7</f>
        <v>2160.1080000000002</v>
      </c>
    </row>
    <row r="68" spans="2:15" ht="52.8" x14ac:dyDescent="0.3">
      <c r="B68" s="19">
        <v>2</v>
      </c>
      <c r="C68" s="20" t="s">
        <v>143</v>
      </c>
      <c r="D68" s="111" t="s">
        <v>30</v>
      </c>
      <c r="E68" s="112"/>
      <c r="F68" s="52" t="s">
        <v>156</v>
      </c>
      <c r="G68" s="25" t="s">
        <v>69</v>
      </c>
      <c r="H68" s="25">
        <v>1</v>
      </c>
      <c r="I68" s="26">
        <f>800.04*0.05</f>
        <v>40.002000000000002</v>
      </c>
    </row>
    <row r="69" spans="2:15" x14ac:dyDescent="0.3">
      <c r="B69" s="19">
        <v>3</v>
      </c>
      <c r="C69" s="20" t="s">
        <v>143</v>
      </c>
      <c r="D69" s="111" t="s">
        <v>30</v>
      </c>
      <c r="E69" s="112"/>
      <c r="F69" s="24" t="s">
        <v>144</v>
      </c>
      <c r="G69" s="25" t="s">
        <v>69</v>
      </c>
      <c r="H69" s="25">
        <v>1</v>
      </c>
      <c r="I69" s="26">
        <v>2081</v>
      </c>
    </row>
    <row r="70" spans="2:15" ht="26.4" x14ac:dyDescent="0.3">
      <c r="B70" s="19">
        <v>4</v>
      </c>
      <c r="C70" s="20" t="s">
        <v>143</v>
      </c>
      <c r="D70" s="111" t="s">
        <v>30</v>
      </c>
      <c r="E70" s="112"/>
      <c r="F70" s="24" t="s">
        <v>32</v>
      </c>
      <c r="G70" s="25" t="s">
        <v>31</v>
      </c>
      <c r="H70" s="25">
        <v>1</v>
      </c>
      <c r="I70" s="26">
        <f>(13677.45*1.9%)+(15317.04*1.6%)</f>
        <v>504.94419000000005</v>
      </c>
    </row>
    <row r="71" spans="2:15" x14ac:dyDescent="0.3">
      <c r="B71" s="116" t="s">
        <v>145</v>
      </c>
      <c r="C71" s="117"/>
      <c r="D71" s="117"/>
      <c r="E71" s="117"/>
      <c r="F71" s="117"/>
      <c r="G71" s="117"/>
      <c r="H71" s="118"/>
      <c r="I71" s="42">
        <f>SUM(I67:I70)</f>
        <v>4786.0541900000007</v>
      </c>
    </row>
    <row r="72" spans="2:15" ht="12.75" customHeight="1" x14ac:dyDescent="0.3">
      <c r="B72" s="113" t="s">
        <v>146</v>
      </c>
      <c r="C72" s="114"/>
      <c r="D72" s="114"/>
      <c r="E72" s="114"/>
      <c r="F72" s="114"/>
      <c r="G72" s="114"/>
      <c r="H72" s="114"/>
      <c r="I72" s="115"/>
    </row>
    <row r="73" spans="2:15" ht="26.4" x14ac:dyDescent="0.3">
      <c r="B73" s="19">
        <v>1</v>
      </c>
      <c r="C73" s="20" t="s">
        <v>157</v>
      </c>
      <c r="D73" s="111" t="s">
        <v>30</v>
      </c>
      <c r="E73" s="112"/>
      <c r="F73" s="24" t="s">
        <v>28</v>
      </c>
      <c r="G73" s="25" t="s">
        <v>29</v>
      </c>
      <c r="H73" s="25">
        <v>800.04</v>
      </c>
      <c r="I73" s="26">
        <f>H73*2.7</f>
        <v>2160.1080000000002</v>
      </c>
    </row>
    <row r="74" spans="2:15" ht="52.8" x14ac:dyDescent="0.3">
      <c r="B74" s="19">
        <v>2</v>
      </c>
      <c r="C74" s="20" t="s">
        <v>157</v>
      </c>
      <c r="D74" s="111" t="s">
        <v>30</v>
      </c>
      <c r="E74" s="112"/>
      <c r="F74" s="52" t="s">
        <v>156</v>
      </c>
      <c r="G74" s="25" t="s">
        <v>69</v>
      </c>
      <c r="H74" s="25">
        <v>1</v>
      </c>
      <c r="I74" s="26">
        <f>800.04*0.05</f>
        <v>40.002000000000002</v>
      </c>
    </row>
    <row r="75" spans="2:15" ht="26.4" x14ac:dyDescent="0.3">
      <c r="B75" s="19">
        <v>3</v>
      </c>
      <c r="C75" s="20" t="s">
        <v>157</v>
      </c>
      <c r="D75" s="111" t="s">
        <v>30</v>
      </c>
      <c r="E75" s="112"/>
      <c r="F75" s="24" t="s">
        <v>148</v>
      </c>
      <c r="G75" s="25" t="s">
        <v>69</v>
      </c>
      <c r="H75" s="25">
        <v>1</v>
      </c>
      <c r="I75" s="26">
        <v>350</v>
      </c>
    </row>
    <row r="76" spans="2:15" ht="26.4" x14ac:dyDescent="0.3">
      <c r="B76" s="19">
        <v>4</v>
      </c>
      <c r="C76" s="20" t="s">
        <v>157</v>
      </c>
      <c r="D76" s="111" t="s">
        <v>30</v>
      </c>
      <c r="E76" s="112"/>
      <c r="F76" s="24" t="s">
        <v>32</v>
      </c>
      <c r="G76" s="25" t="s">
        <v>31</v>
      </c>
      <c r="H76" s="25">
        <v>1</v>
      </c>
      <c r="I76" s="26">
        <f>(13344.05*1.9%)+(16460.97*1.6%)</f>
        <v>516.91246999999998</v>
      </c>
    </row>
    <row r="77" spans="2:15" ht="12.75" customHeight="1" x14ac:dyDescent="0.3">
      <c r="B77" s="116" t="s">
        <v>147</v>
      </c>
      <c r="C77" s="117"/>
      <c r="D77" s="117"/>
      <c r="E77" s="117"/>
      <c r="F77" s="117"/>
      <c r="G77" s="117"/>
      <c r="H77" s="118"/>
      <c r="I77" s="42">
        <f>SUM(I73:I76)</f>
        <v>3067.0224699999999</v>
      </c>
    </row>
    <row r="78" spans="2:15" x14ac:dyDescent="0.3">
      <c r="B78" s="113" t="s">
        <v>149</v>
      </c>
      <c r="C78" s="114"/>
      <c r="D78" s="114"/>
      <c r="E78" s="114"/>
      <c r="F78" s="114"/>
      <c r="G78" s="114"/>
      <c r="H78" s="114"/>
      <c r="I78" s="115"/>
    </row>
    <row r="79" spans="2:15" ht="26.4" x14ac:dyDescent="0.3">
      <c r="B79" s="19">
        <v>1</v>
      </c>
      <c r="C79" s="20" t="s">
        <v>150</v>
      </c>
      <c r="D79" s="111" t="s">
        <v>30</v>
      </c>
      <c r="E79" s="112"/>
      <c r="F79" s="24" t="s">
        <v>28</v>
      </c>
      <c r="G79" s="25" t="s">
        <v>29</v>
      </c>
      <c r="H79" s="25">
        <v>800.04</v>
      </c>
      <c r="I79" s="26">
        <f>H79*2.7</f>
        <v>2160.1080000000002</v>
      </c>
      <c r="O79" s="44"/>
    </row>
    <row r="80" spans="2:15" ht="52.8" x14ac:dyDescent="0.3">
      <c r="B80" s="19">
        <v>2</v>
      </c>
      <c r="C80" s="20" t="s">
        <v>150</v>
      </c>
      <c r="D80" s="111" t="s">
        <v>30</v>
      </c>
      <c r="E80" s="112"/>
      <c r="F80" s="52" t="s">
        <v>156</v>
      </c>
      <c r="G80" s="25" t="s">
        <v>69</v>
      </c>
      <c r="H80" s="25">
        <v>1</v>
      </c>
      <c r="I80" s="26">
        <f>800.04*0.05</f>
        <v>40.002000000000002</v>
      </c>
    </row>
    <row r="81" spans="2:15" ht="26.4" x14ac:dyDescent="0.3">
      <c r="B81" s="19">
        <v>3</v>
      </c>
      <c r="C81" s="20" t="s">
        <v>150</v>
      </c>
      <c r="D81" s="111" t="s">
        <v>30</v>
      </c>
      <c r="E81" s="112"/>
      <c r="F81" s="24" t="s">
        <v>152</v>
      </c>
      <c r="G81" s="25" t="s">
        <v>69</v>
      </c>
      <c r="H81" s="25">
        <v>1</v>
      </c>
      <c r="I81" s="26">
        <v>350</v>
      </c>
      <c r="O81" s="44"/>
    </row>
    <row r="82" spans="2:15" ht="26.4" x14ac:dyDescent="0.3">
      <c r="B82" s="19">
        <v>4</v>
      </c>
      <c r="C82" s="20" t="s">
        <v>150</v>
      </c>
      <c r="D82" s="111" t="s">
        <v>30</v>
      </c>
      <c r="E82" s="112"/>
      <c r="F82" s="24" t="s">
        <v>32</v>
      </c>
      <c r="G82" s="25" t="s">
        <v>31</v>
      </c>
      <c r="H82" s="25">
        <v>1</v>
      </c>
      <c r="I82" s="26">
        <f>(13272.5*1.9%)+(13382.66*1.6%)</f>
        <v>466.30005999999997</v>
      </c>
    </row>
    <row r="83" spans="2:15" x14ac:dyDescent="0.3">
      <c r="B83" s="19">
        <v>5</v>
      </c>
      <c r="C83" s="20" t="s">
        <v>150</v>
      </c>
      <c r="D83" s="111" t="s">
        <v>30</v>
      </c>
      <c r="E83" s="112"/>
      <c r="F83" s="24" t="s">
        <v>70</v>
      </c>
      <c r="G83" s="25" t="s">
        <v>69</v>
      </c>
      <c r="H83" s="25">
        <v>1</v>
      </c>
      <c r="I83" s="26">
        <v>7200</v>
      </c>
    </row>
    <row r="84" spans="2:15" x14ac:dyDescent="0.3">
      <c r="B84" s="116" t="s">
        <v>151</v>
      </c>
      <c r="C84" s="117"/>
      <c r="D84" s="117"/>
      <c r="E84" s="117"/>
      <c r="F84" s="117"/>
      <c r="G84" s="117"/>
      <c r="H84" s="118"/>
      <c r="I84" s="42">
        <f>SUM(I79:I83)</f>
        <v>10216.41006</v>
      </c>
    </row>
    <row r="85" spans="2:15" ht="15.75" customHeight="1" x14ac:dyDescent="0.3">
      <c r="B85" s="129" t="s">
        <v>153</v>
      </c>
      <c r="C85" s="130"/>
      <c r="D85" s="130"/>
      <c r="E85" s="130"/>
      <c r="F85" s="130"/>
      <c r="G85" s="130"/>
      <c r="H85" s="131"/>
      <c r="I85" s="31">
        <f>I16+I21+I27+I33+I39+I47+I54+I59+I65+I71+I77+I84</f>
        <v>88921.36963999999</v>
      </c>
      <c r="M85" s="44"/>
    </row>
    <row r="86" spans="2:15" x14ac:dyDescent="0.3">
      <c r="B86" s="21"/>
      <c r="C86" s="21"/>
      <c r="D86" s="22"/>
      <c r="E86" s="22"/>
      <c r="F86" s="22"/>
      <c r="G86" s="22"/>
      <c r="H86" s="22"/>
      <c r="I86" s="23"/>
    </row>
    <row r="87" spans="2:15" x14ac:dyDescent="0.3">
      <c r="B87" s="14"/>
      <c r="C87" s="14"/>
      <c r="D87" s="14"/>
      <c r="E87" s="14"/>
      <c r="F87" s="14"/>
      <c r="G87" s="14"/>
      <c r="H87" s="14"/>
      <c r="I87" s="14"/>
    </row>
    <row r="88" spans="2:15" ht="29.25" customHeight="1" x14ac:dyDescent="0.3">
      <c r="B88" s="123"/>
      <c r="C88" s="123"/>
      <c r="D88" s="123"/>
      <c r="E88" s="123"/>
      <c r="F88" s="123"/>
      <c r="G88" s="123"/>
      <c r="H88" s="123"/>
      <c r="I88" s="123"/>
    </row>
    <row r="89" spans="2:15" ht="14.4" x14ac:dyDescent="0.3">
      <c r="B89" s="91"/>
      <c r="C89" s="91"/>
      <c r="D89" s="91"/>
      <c r="E89" s="91"/>
    </row>
    <row r="90" spans="2:15" ht="14.4" x14ac:dyDescent="0.3">
      <c r="B90" s="92"/>
      <c r="C90" s="92"/>
      <c r="D90" s="92"/>
      <c r="E90" s="92"/>
      <c r="G90" s="92"/>
      <c r="H90" s="92"/>
      <c r="I90" s="92"/>
    </row>
  </sheetData>
  <mergeCells count="87">
    <mergeCell ref="B17:I17"/>
    <mergeCell ref="D18:E18"/>
    <mergeCell ref="D20:E20"/>
    <mergeCell ref="B21:H21"/>
    <mergeCell ref="B27:H27"/>
    <mergeCell ref="D19:E19"/>
    <mergeCell ref="D25:E25"/>
    <mergeCell ref="D12:E12"/>
    <mergeCell ref="D15:E15"/>
    <mergeCell ref="B16:H16"/>
    <mergeCell ref="D13:E13"/>
    <mergeCell ref="D14:E14"/>
    <mergeCell ref="G90:I90"/>
    <mergeCell ref="H8:H9"/>
    <mergeCell ref="I8:I9"/>
    <mergeCell ref="B88:I88"/>
    <mergeCell ref="D8:E9"/>
    <mergeCell ref="B8:B9"/>
    <mergeCell ref="C8:C9"/>
    <mergeCell ref="F8:F9"/>
    <mergeCell ref="G8:G9"/>
    <mergeCell ref="B85:H85"/>
    <mergeCell ref="B22:I22"/>
    <mergeCell ref="D23:E23"/>
    <mergeCell ref="D24:E24"/>
    <mergeCell ref="D26:E26"/>
    <mergeCell ref="B10:I10"/>
    <mergeCell ref="D11:E11"/>
    <mergeCell ref="D43:E43"/>
    <mergeCell ref="D45:E45"/>
    <mergeCell ref="D44:E44"/>
    <mergeCell ref="B89:E89"/>
    <mergeCell ref="B90:E90"/>
    <mergeCell ref="D46:E46"/>
    <mergeCell ref="B47:H47"/>
    <mergeCell ref="B48:I48"/>
    <mergeCell ref="D49:E49"/>
    <mergeCell ref="D53:E53"/>
    <mergeCell ref="D50:E50"/>
    <mergeCell ref="D52:E52"/>
    <mergeCell ref="D51:E51"/>
    <mergeCell ref="B59:H59"/>
    <mergeCell ref="B54:H54"/>
    <mergeCell ref="B55:I55"/>
    <mergeCell ref="D56:E56"/>
    <mergeCell ref="D58:E58"/>
    <mergeCell ref="D57:E57"/>
    <mergeCell ref="B60:I60"/>
    <mergeCell ref="D61:E61"/>
    <mergeCell ref="D64:E64"/>
    <mergeCell ref="B65:H65"/>
    <mergeCell ref="D63:E63"/>
    <mergeCell ref="D62:E62"/>
    <mergeCell ref="B66:I66"/>
    <mergeCell ref="D67:E67"/>
    <mergeCell ref="D70:E70"/>
    <mergeCell ref="B71:H71"/>
    <mergeCell ref="D69:E69"/>
    <mergeCell ref="D68:E68"/>
    <mergeCell ref="B72:I72"/>
    <mergeCell ref="D73:E73"/>
    <mergeCell ref="D76:E76"/>
    <mergeCell ref="B77:H77"/>
    <mergeCell ref="D75:E75"/>
    <mergeCell ref="D74:E74"/>
    <mergeCell ref="B78:I78"/>
    <mergeCell ref="D79:E79"/>
    <mergeCell ref="D82:E82"/>
    <mergeCell ref="B84:H84"/>
    <mergeCell ref="D83:E83"/>
    <mergeCell ref="D81:E81"/>
    <mergeCell ref="D80:E80"/>
    <mergeCell ref="D42:E42"/>
    <mergeCell ref="B40:I40"/>
    <mergeCell ref="D41:E41"/>
    <mergeCell ref="B28:I28"/>
    <mergeCell ref="D29:E29"/>
    <mergeCell ref="D30:E30"/>
    <mergeCell ref="D32:E32"/>
    <mergeCell ref="B33:H33"/>
    <mergeCell ref="B34:I34"/>
    <mergeCell ref="D35:E35"/>
    <mergeCell ref="D38:E38"/>
    <mergeCell ref="D37:E37"/>
    <mergeCell ref="B39:H39"/>
    <mergeCell ref="D31:E31"/>
    <mergeCell ref="D36:E36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2"/>
  <sheetViews>
    <sheetView zoomScaleNormal="100" workbookViewId="0">
      <selection activeCell="L14" sqref="L1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120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98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78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0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0" x14ac:dyDescent="0.3">
      <c r="B10" s="113" t="s">
        <v>103</v>
      </c>
      <c r="C10" s="114"/>
      <c r="D10" s="114"/>
      <c r="E10" s="114"/>
      <c r="F10" s="114"/>
      <c r="G10" s="114"/>
      <c r="H10" s="114"/>
      <c r="I10" s="115"/>
    </row>
    <row r="11" spans="2:10" ht="26.4" x14ac:dyDescent="0.3">
      <c r="B11" s="19">
        <v>1</v>
      </c>
      <c r="C11" s="20" t="s">
        <v>105</v>
      </c>
      <c r="D11" s="111" t="s">
        <v>30</v>
      </c>
      <c r="E11" s="112"/>
      <c r="F11" s="24" t="s">
        <v>106</v>
      </c>
      <c r="G11" s="25" t="s">
        <v>69</v>
      </c>
      <c r="H11" s="25">
        <v>1</v>
      </c>
      <c r="I11" s="26">
        <v>1329</v>
      </c>
    </row>
    <row r="12" spans="2:10" x14ac:dyDescent="0.3">
      <c r="B12" s="116" t="s">
        <v>104</v>
      </c>
      <c r="C12" s="117"/>
      <c r="D12" s="117"/>
      <c r="E12" s="117"/>
      <c r="F12" s="117"/>
      <c r="G12" s="117"/>
      <c r="H12" s="118"/>
      <c r="I12" s="42">
        <f>SUM(I11:I11)</f>
        <v>1329</v>
      </c>
    </row>
    <row r="13" spans="2:10" x14ac:dyDescent="0.3">
      <c r="B13" s="113" t="s">
        <v>121</v>
      </c>
      <c r="C13" s="114"/>
      <c r="D13" s="114"/>
      <c r="E13" s="114"/>
      <c r="F13" s="114"/>
      <c r="G13" s="114"/>
      <c r="H13" s="114"/>
      <c r="I13" s="115"/>
    </row>
    <row r="14" spans="2:10" ht="26.4" x14ac:dyDescent="0.3">
      <c r="B14" s="19">
        <v>1</v>
      </c>
      <c r="C14" s="20" t="s">
        <v>119</v>
      </c>
      <c r="D14" s="111" t="s">
        <v>30</v>
      </c>
      <c r="E14" s="112"/>
      <c r="F14" s="24" t="s">
        <v>122</v>
      </c>
      <c r="G14" s="25" t="s">
        <v>69</v>
      </c>
      <c r="H14" s="25">
        <v>1</v>
      </c>
      <c r="I14" s="26">
        <v>2115</v>
      </c>
    </row>
    <row r="15" spans="2:10" x14ac:dyDescent="0.3">
      <c r="B15" s="19">
        <v>2</v>
      </c>
      <c r="C15" s="20" t="s">
        <v>119</v>
      </c>
      <c r="D15" s="111" t="s">
        <v>30</v>
      </c>
      <c r="E15" s="112"/>
      <c r="F15" s="24" t="s">
        <v>87</v>
      </c>
      <c r="G15" s="25" t="s">
        <v>69</v>
      </c>
      <c r="H15" s="25">
        <v>1</v>
      </c>
      <c r="I15" s="26">
        <v>3284</v>
      </c>
    </row>
    <row r="16" spans="2:10" x14ac:dyDescent="0.3">
      <c r="B16" s="116" t="s">
        <v>123</v>
      </c>
      <c r="C16" s="117"/>
      <c r="D16" s="117"/>
      <c r="E16" s="117"/>
      <c r="F16" s="117"/>
      <c r="G16" s="117"/>
      <c r="H16" s="118"/>
      <c r="I16" s="42">
        <f>SUM(I14:I14)</f>
        <v>2115</v>
      </c>
    </row>
    <row r="17" spans="2:9" ht="15.6" x14ac:dyDescent="0.3">
      <c r="B17" s="129" t="s">
        <v>153</v>
      </c>
      <c r="C17" s="130"/>
      <c r="D17" s="130"/>
      <c r="E17" s="130"/>
      <c r="F17" s="130"/>
      <c r="G17" s="130"/>
      <c r="H17" s="131"/>
      <c r="I17" s="31">
        <f>I12+I16</f>
        <v>3444</v>
      </c>
    </row>
    <row r="18" spans="2:9" x14ac:dyDescent="0.3">
      <c r="B18" s="21"/>
      <c r="C18" s="21"/>
      <c r="D18" s="22"/>
      <c r="E18" s="22"/>
      <c r="F18" s="22"/>
      <c r="G18" s="22"/>
      <c r="H18" s="22"/>
      <c r="I18" s="23"/>
    </row>
    <row r="19" spans="2:9" x14ac:dyDescent="0.3">
      <c r="B19" s="14"/>
      <c r="C19" s="14"/>
      <c r="D19" s="14"/>
      <c r="E19" s="14"/>
      <c r="F19" s="14"/>
      <c r="G19" s="14"/>
      <c r="H19" s="14"/>
      <c r="I19" s="14"/>
    </row>
    <row r="20" spans="2:9" ht="29.25" customHeight="1" x14ac:dyDescent="0.3">
      <c r="B20" s="123"/>
      <c r="C20" s="123"/>
      <c r="D20" s="123"/>
      <c r="E20" s="123"/>
      <c r="F20" s="123"/>
      <c r="G20" s="123"/>
      <c r="H20" s="123"/>
      <c r="I20" s="123"/>
    </row>
    <row r="21" spans="2:9" ht="14.4" x14ac:dyDescent="0.3">
      <c r="B21" s="91"/>
      <c r="C21" s="91"/>
      <c r="D21" s="91"/>
      <c r="E21" s="91"/>
    </row>
    <row r="22" spans="2:9" ht="14.4" x14ac:dyDescent="0.3">
      <c r="B22" s="92"/>
      <c r="C22" s="92"/>
      <c r="D22" s="92"/>
      <c r="E22" s="92"/>
      <c r="G22" s="92"/>
      <c r="H22" s="92"/>
      <c r="I22" s="92"/>
    </row>
  </sheetData>
  <mergeCells count="19">
    <mergeCell ref="B12:H12"/>
    <mergeCell ref="D15:E15"/>
    <mergeCell ref="B16:H16"/>
    <mergeCell ref="B21:E21"/>
    <mergeCell ref="B22:E22"/>
    <mergeCell ref="G22:I22"/>
    <mergeCell ref="H8:H9"/>
    <mergeCell ref="I8:I9"/>
    <mergeCell ref="B20:I20"/>
    <mergeCell ref="B17:H17"/>
    <mergeCell ref="B13:I13"/>
    <mergeCell ref="D14:E14"/>
    <mergeCell ref="B10:I10"/>
    <mergeCell ref="D11:E11"/>
    <mergeCell ref="B8:B9"/>
    <mergeCell ref="C8:C9"/>
    <mergeCell ref="D8:E9"/>
    <mergeCell ref="F8:F9"/>
    <mergeCell ref="G8:G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5"/>
  <sheetViews>
    <sheetView showRuler="0" zoomScaleNormal="100" workbookViewId="0">
      <selection activeCell="Q13" sqref="Q1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5" t="s">
        <v>155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3">
      <c r="A2" s="155" t="s">
        <v>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3">
      <c r="A3" s="156" t="s">
        <v>89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3">
      <c r="A4" s="59" t="s">
        <v>82</v>
      </c>
      <c r="B4" s="60"/>
      <c r="C4" s="60"/>
      <c r="D4" s="67"/>
      <c r="E4" s="59" t="s">
        <v>83</v>
      </c>
      <c r="F4" s="60"/>
      <c r="G4" s="60"/>
      <c r="H4" s="60"/>
      <c r="I4" s="67"/>
      <c r="J4" s="59" t="s">
        <v>86</v>
      </c>
      <c r="K4" s="60"/>
      <c r="L4" s="60"/>
      <c r="M4" s="67"/>
    </row>
    <row r="5" spans="1:13" x14ac:dyDescent="0.3">
      <c r="A5" s="59" t="s">
        <v>85</v>
      </c>
      <c r="B5" s="67"/>
      <c r="C5" s="59" t="s">
        <v>71</v>
      </c>
      <c r="D5" s="60"/>
      <c r="E5" s="60"/>
      <c r="F5" s="60"/>
      <c r="G5" s="60"/>
      <c r="H5" s="67"/>
      <c r="I5" s="59" t="s">
        <v>72</v>
      </c>
      <c r="J5" s="60"/>
      <c r="K5" s="60"/>
      <c r="L5" s="60"/>
      <c r="M5" s="67"/>
    </row>
    <row r="6" spans="1:13" x14ac:dyDescent="0.3">
      <c r="A6" s="59" t="s">
        <v>73</v>
      </c>
      <c r="B6" s="60"/>
      <c r="C6" s="60"/>
      <c r="D6" s="60"/>
      <c r="E6" s="60"/>
      <c r="F6" s="60"/>
      <c r="G6" s="67"/>
      <c r="H6" s="59" t="s">
        <v>74</v>
      </c>
      <c r="I6" s="60"/>
      <c r="J6" s="60"/>
      <c r="K6" s="60"/>
      <c r="L6" s="60"/>
      <c r="M6" s="67"/>
    </row>
    <row r="7" spans="1:13" x14ac:dyDescent="0.3">
      <c r="A7" s="58"/>
      <c r="B7" s="58"/>
      <c r="C7" s="58"/>
      <c r="D7" s="58"/>
      <c r="E7" s="58"/>
      <c r="F7" s="58" t="s">
        <v>75</v>
      </c>
      <c r="G7" s="58"/>
      <c r="H7" s="58"/>
      <c r="I7" s="58"/>
      <c r="J7" s="58" t="s">
        <v>84</v>
      </c>
      <c r="K7" s="58"/>
      <c r="L7" s="58"/>
      <c r="M7" s="58"/>
    </row>
    <row r="8" spans="1:13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38.25" customHeight="1" x14ac:dyDescent="0.3">
      <c r="A9" s="151" t="s">
        <v>34</v>
      </c>
      <c r="B9" s="151"/>
      <c r="C9" s="151"/>
      <c r="D9" s="151"/>
      <c r="E9" s="160" t="s">
        <v>35</v>
      </c>
      <c r="F9" s="160"/>
      <c r="G9" s="157" t="s">
        <v>36</v>
      </c>
      <c r="H9" s="158"/>
      <c r="I9" s="159"/>
      <c r="J9" s="157" t="s">
        <v>37</v>
      </c>
      <c r="K9" s="158"/>
      <c r="L9" s="159"/>
      <c r="M9" s="34" t="s">
        <v>38</v>
      </c>
    </row>
    <row r="10" spans="1:13" x14ac:dyDescent="0.3">
      <c r="A10" s="137" t="s">
        <v>39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3" x14ac:dyDescent="0.3">
      <c r="A11" s="152" t="s">
        <v>40</v>
      </c>
      <c r="B11" s="153"/>
      <c r="C11" s="153"/>
      <c r="D11" s="154"/>
      <c r="E11" s="143">
        <v>5554.02</v>
      </c>
      <c r="F11" s="70"/>
      <c r="G11" s="140">
        <v>52323.06</v>
      </c>
      <c r="H11" s="141"/>
      <c r="I11" s="142"/>
      <c r="J11" s="140">
        <v>51794.73</v>
      </c>
      <c r="K11" s="141"/>
      <c r="L11" s="142"/>
      <c r="M11" s="39">
        <v>6172.28</v>
      </c>
    </row>
    <row r="12" spans="1:13" ht="14.25" customHeight="1" x14ac:dyDescent="0.3">
      <c r="A12" s="144" t="s">
        <v>41</v>
      </c>
      <c r="B12" s="145"/>
      <c r="C12" s="145"/>
      <c r="D12" s="146"/>
      <c r="E12" s="143">
        <v>5554.02</v>
      </c>
      <c r="F12" s="143"/>
      <c r="G12" s="143">
        <v>52323.06</v>
      </c>
      <c r="H12" s="143"/>
      <c r="I12" s="143"/>
      <c r="J12" s="143">
        <v>51794.67</v>
      </c>
      <c r="K12" s="143"/>
      <c r="L12" s="143"/>
      <c r="M12" s="39">
        <v>6172.33</v>
      </c>
    </row>
    <row r="13" spans="1:13" ht="21" customHeight="1" x14ac:dyDescent="0.3">
      <c r="A13" s="98" t="s">
        <v>42</v>
      </c>
      <c r="B13" s="99"/>
      <c r="C13" s="99"/>
      <c r="D13" s="100"/>
      <c r="E13" s="135"/>
      <c r="F13" s="136"/>
      <c r="G13" s="135">
        <f>SUM(G11:G12)</f>
        <v>104646.12</v>
      </c>
      <c r="H13" s="147"/>
      <c r="I13" s="136"/>
      <c r="J13" s="135">
        <f>SUM(J11:J12)</f>
        <v>103589.4</v>
      </c>
      <c r="K13" s="99"/>
      <c r="L13" s="100"/>
      <c r="M13" s="38">
        <f>SUM(M11:M12)</f>
        <v>12344.61</v>
      </c>
    </row>
    <row r="14" spans="1:13" x14ac:dyDescent="0.3">
      <c r="A14" s="98" t="s">
        <v>77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M14" s="38">
        <v>56.71</v>
      </c>
    </row>
    <row r="15" spans="1:13" x14ac:dyDescent="0.3">
      <c r="A15" s="98" t="s">
        <v>76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/>
      <c r="M15" s="38">
        <v>2747.13</v>
      </c>
    </row>
    <row r="16" spans="1:13" x14ac:dyDescent="0.3">
      <c r="A16" s="70" t="s">
        <v>16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51">
        <v>2468.83</v>
      </c>
    </row>
    <row r="17" spans="1:14" x14ac:dyDescent="0.3">
      <c r="A17" s="98" t="s">
        <v>56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00"/>
      <c r="M17" s="37">
        <v>81.790000000000006</v>
      </c>
    </row>
    <row r="18" spans="1:14" x14ac:dyDescent="0.3">
      <c r="A18" s="137" t="s">
        <v>43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1:14" x14ac:dyDescent="0.3">
      <c r="A19" s="184" t="s">
        <v>13</v>
      </c>
      <c r="B19" s="185"/>
      <c r="C19" s="185"/>
      <c r="D19" s="186"/>
      <c r="E19" s="140">
        <v>466.53</v>
      </c>
      <c r="F19" s="142"/>
      <c r="G19" s="140">
        <v>4977.46</v>
      </c>
      <c r="H19" s="141"/>
      <c r="I19" s="142"/>
      <c r="J19" s="140">
        <v>5155.46</v>
      </c>
      <c r="K19" s="182"/>
      <c r="L19" s="183"/>
      <c r="M19" s="39">
        <v>671.91</v>
      </c>
    </row>
    <row r="20" spans="1:14" ht="14.25" customHeight="1" x14ac:dyDescent="0.3">
      <c r="A20" s="98" t="s">
        <v>14</v>
      </c>
      <c r="B20" s="99"/>
      <c r="C20" s="99"/>
      <c r="D20" s="100"/>
      <c r="E20" s="143">
        <v>207.78</v>
      </c>
      <c r="F20" s="143"/>
      <c r="G20" s="135">
        <v>2041.2</v>
      </c>
      <c r="H20" s="147"/>
      <c r="I20" s="136"/>
      <c r="J20" s="135">
        <v>2014.31</v>
      </c>
      <c r="K20" s="147"/>
      <c r="L20" s="136"/>
      <c r="M20" s="38">
        <v>238.17</v>
      </c>
    </row>
    <row r="21" spans="1:14" ht="31.5" customHeight="1" x14ac:dyDescent="0.3">
      <c r="A21" s="144" t="s">
        <v>154</v>
      </c>
      <c r="B21" s="145"/>
      <c r="C21" s="145"/>
      <c r="D21" s="146"/>
      <c r="E21" s="135">
        <v>0</v>
      </c>
      <c r="F21" s="136"/>
      <c r="G21" s="135">
        <v>11899.8</v>
      </c>
      <c r="H21" s="147"/>
      <c r="I21" s="136"/>
      <c r="J21" s="135">
        <v>11672.33</v>
      </c>
      <c r="K21" s="147"/>
      <c r="L21" s="136"/>
      <c r="M21" s="38">
        <v>335.15</v>
      </c>
    </row>
    <row r="22" spans="1:14" x14ac:dyDescent="0.3">
      <c r="A22" s="98" t="s">
        <v>15</v>
      </c>
      <c r="B22" s="99"/>
      <c r="C22" s="99"/>
      <c r="D22" s="100"/>
      <c r="E22" s="143">
        <v>3325.51</v>
      </c>
      <c r="F22" s="143"/>
      <c r="G22" s="98">
        <v>14480.09</v>
      </c>
      <c r="H22" s="99"/>
      <c r="I22" s="100"/>
      <c r="J22" s="135">
        <v>16473.689999999999</v>
      </c>
      <c r="K22" s="99"/>
      <c r="L22" s="100"/>
      <c r="M22" s="36">
        <v>1362.73</v>
      </c>
    </row>
    <row r="23" spans="1:14" ht="27.75" customHeight="1" x14ac:dyDescent="0.3">
      <c r="A23" s="144" t="s">
        <v>44</v>
      </c>
      <c r="B23" s="145"/>
      <c r="C23" s="145"/>
      <c r="D23" s="146"/>
      <c r="E23" s="143"/>
      <c r="F23" s="143"/>
      <c r="G23" s="135">
        <f>SUM(G19:G22)</f>
        <v>33398.550000000003</v>
      </c>
      <c r="H23" s="147"/>
      <c r="I23" s="136"/>
      <c r="J23" s="98">
        <f>SUM(J19:J22)</f>
        <v>35315.789999999994</v>
      </c>
      <c r="K23" s="99"/>
      <c r="L23" s="100"/>
      <c r="M23" s="36">
        <f>SUM(M19:M22)</f>
        <v>2607.96</v>
      </c>
    </row>
    <row r="24" spans="1:14" ht="18.75" customHeight="1" x14ac:dyDescent="0.3">
      <c r="A24" s="144" t="s">
        <v>9</v>
      </c>
      <c r="B24" s="145"/>
      <c r="C24" s="145"/>
      <c r="D24" s="145"/>
      <c r="E24" s="143"/>
      <c r="F24" s="143"/>
      <c r="G24" s="135"/>
      <c r="H24" s="147"/>
      <c r="I24" s="136"/>
      <c r="J24" s="98"/>
      <c r="K24" s="99"/>
      <c r="L24" s="100"/>
      <c r="M24" s="36">
        <f>M23+M17+M16+M15+M14+M13</f>
        <v>20307.03</v>
      </c>
    </row>
    <row r="25" spans="1:14" ht="17.25" customHeight="1" x14ac:dyDescent="0.3">
      <c r="A25" s="148" t="s">
        <v>45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</row>
    <row r="26" spans="1:14" x14ac:dyDescent="0.3">
      <c r="A26" s="5" t="s">
        <v>20</v>
      </c>
      <c r="B26" s="151" t="s">
        <v>46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77" t="s">
        <v>47</v>
      </c>
      <c r="M26" s="177"/>
    </row>
    <row r="27" spans="1:14" x14ac:dyDescent="0.3">
      <c r="A27" s="32">
        <v>1</v>
      </c>
      <c r="B27" s="178" t="s">
        <v>28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35">
        <v>25921.32</v>
      </c>
      <c r="M27" s="136"/>
    </row>
    <row r="28" spans="1:14" ht="15.75" customHeight="1" x14ac:dyDescent="0.3">
      <c r="A28" s="32">
        <v>2</v>
      </c>
      <c r="B28" s="178" t="s">
        <v>32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98">
        <v>6428.05</v>
      </c>
      <c r="M28" s="100"/>
    </row>
    <row r="29" spans="1:14" ht="16.5" customHeight="1" x14ac:dyDescent="0.3">
      <c r="A29" s="32">
        <v>3</v>
      </c>
      <c r="B29" s="132" t="s">
        <v>156</v>
      </c>
      <c r="C29" s="133"/>
      <c r="D29" s="133"/>
      <c r="E29" s="133"/>
      <c r="F29" s="133"/>
      <c r="G29" s="133"/>
      <c r="H29" s="133"/>
      <c r="I29" s="133"/>
      <c r="J29" s="133"/>
      <c r="K29" s="134"/>
      <c r="L29" s="135">
        <v>480</v>
      </c>
      <c r="M29" s="136"/>
    </row>
    <row r="30" spans="1:14" x14ac:dyDescent="0.3">
      <c r="A30" s="32">
        <v>4</v>
      </c>
      <c r="B30" s="172" t="s">
        <v>79</v>
      </c>
      <c r="C30" s="172"/>
      <c r="D30" s="172"/>
      <c r="E30" s="172"/>
      <c r="F30" s="172"/>
      <c r="G30" s="172"/>
      <c r="H30" s="172"/>
      <c r="I30" s="172"/>
      <c r="J30" s="172"/>
      <c r="K30" s="173"/>
      <c r="L30" s="135">
        <v>3444</v>
      </c>
      <c r="M30" s="136"/>
    </row>
    <row r="31" spans="1:14" x14ac:dyDescent="0.3">
      <c r="A31" s="32">
        <v>5</v>
      </c>
      <c r="B31" s="171" t="s">
        <v>80</v>
      </c>
      <c r="C31" s="172"/>
      <c r="D31" s="172"/>
      <c r="E31" s="172"/>
      <c r="F31" s="172"/>
      <c r="G31" s="172"/>
      <c r="H31" s="172"/>
      <c r="I31" s="172"/>
      <c r="J31" s="172"/>
      <c r="K31" s="173"/>
      <c r="L31" s="135">
        <f>55609.98+482.02</f>
        <v>56092</v>
      </c>
      <c r="M31" s="136"/>
      <c r="N31" s="45"/>
    </row>
    <row r="32" spans="1:14" x14ac:dyDescent="0.3">
      <c r="A32" s="187" t="s">
        <v>48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9"/>
      <c r="L32" s="175">
        <f>SUM(L27:L31)</f>
        <v>92365.37</v>
      </c>
      <c r="M32" s="176"/>
    </row>
    <row r="33" spans="1:15" x14ac:dyDescent="0.3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L33" s="174"/>
      <c r="M33" s="174"/>
    </row>
    <row r="34" spans="1:15" x14ac:dyDescent="0.3">
      <c r="A34" s="162" t="s">
        <v>49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4"/>
      <c r="L34" s="165">
        <v>-31716.68</v>
      </c>
      <c r="M34" s="166"/>
    </row>
    <row r="35" spans="1:15" x14ac:dyDescent="0.3">
      <c r="A35" s="162" t="s">
        <v>53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  <c r="L35" s="165">
        <f>M24</f>
        <v>20307.03</v>
      </c>
      <c r="M35" s="166"/>
    </row>
    <row r="36" spans="1:15" x14ac:dyDescent="0.3">
      <c r="A36" s="162" t="s">
        <v>50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4"/>
      <c r="L36" s="165">
        <f>J13</f>
        <v>103589.4</v>
      </c>
      <c r="M36" s="166"/>
    </row>
    <row r="37" spans="1:15" x14ac:dyDescent="0.3">
      <c r="A37" s="162" t="s">
        <v>51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4"/>
      <c r="L37" s="165">
        <f>L32</f>
        <v>92365.37</v>
      </c>
      <c r="M37" s="166"/>
    </row>
    <row r="38" spans="1:15" x14ac:dyDescent="0.3">
      <c r="A38" s="162" t="s">
        <v>52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4"/>
      <c r="L38" s="165">
        <f>L34+L36-L37</f>
        <v>-20492.649999999994</v>
      </c>
      <c r="M38" s="167"/>
      <c r="O38" s="45"/>
    </row>
    <row r="39" spans="1:15" x14ac:dyDescent="0.3">
      <c r="A39" s="33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15" x14ac:dyDescent="0.3">
      <c r="A40" s="35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69"/>
      <c r="M40" s="169"/>
    </row>
    <row r="41" spans="1:15" x14ac:dyDescent="0.3">
      <c r="A41" s="35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</row>
    <row r="42" spans="1:15" x14ac:dyDescent="0.3">
      <c r="A42" s="35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</row>
    <row r="43" spans="1:15" x14ac:dyDescent="0.3">
      <c r="A43" s="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"/>
      <c r="M43" s="1"/>
    </row>
    <row r="44" spans="1:15" x14ac:dyDescent="0.3">
      <c r="A44" s="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9">
    <mergeCell ref="A36:K36"/>
    <mergeCell ref="A37:K37"/>
    <mergeCell ref="E20:F20"/>
    <mergeCell ref="A20:D20"/>
    <mergeCell ref="G20:I20"/>
    <mergeCell ref="J20:L20"/>
    <mergeCell ref="E24:F24"/>
    <mergeCell ref="G24:I24"/>
    <mergeCell ref="J24:L24"/>
    <mergeCell ref="A32:K32"/>
    <mergeCell ref="B28:K28"/>
    <mergeCell ref="L27:M27"/>
    <mergeCell ref="L28:M28"/>
    <mergeCell ref="A23:D23"/>
    <mergeCell ref="A22:D22"/>
    <mergeCell ref="G22:I22"/>
    <mergeCell ref="J22:L22"/>
    <mergeCell ref="G19:I19"/>
    <mergeCell ref="J19:L19"/>
    <mergeCell ref="A19:D19"/>
    <mergeCell ref="A15:L15"/>
    <mergeCell ref="A16:L16"/>
    <mergeCell ref="A17:L17"/>
    <mergeCell ref="E19:F19"/>
    <mergeCell ref="B41:K41"/>
    <mergeCell ref="A21:D21"/>
    <mergeCell ref="E21:F21"/>
    <mergeCell ref="G21:I21"/>
    <mergeCell ref="J21:L21"/>
    <mergeCell ref="E23:F23"/>
    <mergeCell ref="E22:F22"/>
    <mergeCell ref="L26:M26"/>
    <mergeCell ref="B27:K27"/>
    <mergeCell ref="A24:D24"/>
    <mergeCell ref="G23:I23"/>
    <mergeCell ref="J23:L23"/>
    <mergeCell ref="A33:K33"/>
    <mergeCell ref="A34:K34"/>
    <mergeCell ref="B30:K30"/>
    <mergeCell ref="L30:M30"/>
    <mergeCell ref="B31:K31"/>
    <mergeCell ref="L31:M31"/>
    <mergeCell ref="L33:M33"/>
    <mergeCell ref="L34:M34"/>
    <mergeCell ref="L32:M32"/>
    <mergeCell ref="B43:K43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0:K40"/>
    <mergeCell ref="B42:K42"/>
    <mergeCell ref="A38:K38"/>
    <mergeCell ref="A1:M1"/>
    <mergeCell ref="A2:M2"/>
    <mergeCell ref="A3:M3"/>
    <mergeCell ref="G9:I9"/>
    <mergeCell ref="J9:L9"/>
    <mergeCell ref="A9:D9"/>
    <mergeCell ref="E9:F9"/>
    <mergeCell ref="A8:M8"/>
    <mergeCell ref="A6:G6"/>
    <mergeCell ref="H6:M6"/>
    <mergeCell ref="A7:E7"/>
    <mergeCell ref="F7:I7"/>
    <mergeCell ref="J7:M7"/>
    <mergeCell ref="A4:D4"/>
    <mergeCell ref="A5:B5"/>
    <mergeCell ref="C5:H5"/>
    <mergeCell ref="E4:I4"/>
    <mergeCell ref="J4:M4"/>
    <mergeCell ref="A10:M10"/>
    <mergeCell ref="A11:D11"/>
    <mergeCell ref="E11:F11"/>
    <mergeCell ref="I5:M5"/>
    <mergeCell ref="B29:K29"/>
    <mergeCell ref="L29:M29"/>
    <mergeCell ref="J13:L13"/>
    <mergeCell ref="A18:M18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4:L14"/>
    <mergeCell ref="A25:M25"/>
    <mergeCell ref="B26:K26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ЖУКОВСКОГО 6</vt:lpstr>
      <vt:lpstr>СОДЕРЖАНИЕ ЖИЛЬЯ</vt:lpstr>
      <vt:lpstr>РЕМОНТ ЖИЛЬЯ</vt:lpstr>
      <vt:lpstr>ОТЧЕТ ЖУКОВСКОГО 6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2024-03-28T15:21:18Z</dcterms:modified>
</cp:coreProperties>
</file>