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8D012F92-C7B8-4FC1-913D-6C2B8D4FF07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ТРАНСПОРТНАЯ 58" sheetId="1" r:id="rId1"/>
    <sheet name="СОДЕРЖАНИЕ ЖИЛЬЯ" sheetId="2" r:id="rId2"/>
    <sheet name="РЕМОНТ ЖИЛЬЯ" sheetId="3" r:id="rId3"/>
    <sheet name="ОТЧЕТ ТРАНСпорт 58  на подпись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I74" i="2"/>
  <c r="I67" i="2"/>
  <c r="I68" i="2"/>
  <c r="I60" i="2"/>
  <c r="I63" i="2"/>
  <c r="I55" i="2"/>
  <c r="I56" i="2"/>
  <c r="I50" i="2"/>
  <c r="I51" i="2"/>
  <c r="I45" i="2"/>
  <c r="I46" i="2"/>
  <c r="I40" i="2"/>
  <c r="I41" i="2"/>
  <c r="I34" i="2"/>
  <c r="I36" i="2"/>
  <c r="I29" i="2"/>
  <c r="I30" i="2"/>
  <c r="I23" i="2"/>
  <c r="I24" i="2"/>
  <c r="I17" i="2"/>
  <c r="I19" i="2"/>
  <c r="I12" i="2"/>
  <c r="I13" i="2"/>
  <c r="K47" i="1" l="1"/>
  <c r="I47" i="1"/>
  <c r="K46" i="1"/>
  <c r="I46" i="1"/>
  <c r="K45" i="1"/>
  <c r="I45" i="1"/>
  <c r="L28" i="4" l="1"/>
  <c r="L24" i="4"/>
  <c r="M17" i="4" l="1"/>
  <c r="G41" i="1"/>
  <c r="K30" i="1" l="1"/>
  <c r="K32" i="1"/>
  <c r="K33" i="1"/>
  <c r="K34" i="1"/>
  <c r="K35" i="1"/>
  <c r="K37" i="1"/>
  <c r="K38" i="1"/>
  <c r="K40" i="1"/>
  <c r="K39" i="1"/>
  <c r="I71" i="2"/>
  <c r="I66" i="2"/>
  <c r="I59" i="2"/>
  <c r="I54" i="2"/>
  <c r="K36" i="1"/>
  <c r="I49" i="2"/>
  <c r="I44" i="2"/>
  <c r="I39" i="2"/>
  <c r="I14" i="3"/>
  <c r="I15" i="3" s="1"/>
  <c r="L27" i="4" s="1"/>
  <c r="I33" i="2"/>
  <c r="I27" i="2"/>
  <c r="I22" i="2"/>
  <c r="I16" i="2"/>
  <c r="I69" i="2" l="1"/>
  <c r="I22" i="1" s="1"/>
  <c r="K22" i="1" s="1"/>
  <c r="I75" i="2"/>
  <c r="I23" i="1" s="1"/>
  <c r="K23" i="1" s="1"/>
  <c r="I52" i="2"/>
  <c r="I19" i="1" s="1"/>
  <c r="K19" i="1" s="1"/>
  <c r="I57" i="2"/>
  <c r="I20" i="1" s="1"/>
  <c r="K20" i="1" s="1"/>
  <c r="I64" i="2"/>
  <c r="I21" i="1" s="1"/>
  <c r="K21" i="1" s="1"/>
  <c r="I47" i="2"/>
  <c r="I18" i="1" s="1"/>
  <c r="K18" i="1" s="1"/>
  <c r="I42" i="2"/>
  <c r="I17" i="1" s="1"/>
  <c r="K17" i="1" s="1"/>
  <c r="I31" i="2"/>
  <c r="I15" i="1" s="1"/>
  <c r="K15" i="1" s="1"/>
  <c r="I37" i="2"/>
  <c r="I16" i="1" s="1"/>
  <c r="K16" i="1" s="1"/>
  <c r="I25" i="2"/>
  <c r="I14" i="1" s="1"/>
  <c r="K14" i="1" s="1"/>
  <c r="I20" i="2"/>
  <c r="I13" i="1" s="1"/>
  <c r="K13" i="1" s="1"/>
  <c r="M41" i="1"/>
  <c r="K29" i="1"/>
  <c r="E41" i="1"/>
  <c r="G24" i="1"/>
  <c r="L7" i="1" s="1"/>
  <c r="E24" i="1"/>
  <c r="L6" i="1" l="1"/>
  <c r="I41" i="1"/>
  <c r="K31" i="1"/>
  <c r="K41" i="1" s="1"/>
  <c r="K42" i="1" s="1"/>
  <c r="I11" i="2"/>
  <c r="M20" i="4" l="1"/>
  <c r="J20" i="4"/>
  <c r="G20" i="4"/>
  <c r="E20" i="4"/>
  <c r="M12" i="4"/>
  <c r="J12" i="4"/>
  <c r="L33" i="4" s="1"/>
  <c r="G12" i="4"/>
  <c r="E12" i="4"/>
  <c r="M21" i="4" l="1"/>
  <c r="L32" i="4" s="1"/>
  <c r="I7" i="3"/>
  <c r="I14" i="2" l="1"/>
  <c r="I12" i="1" l="1"/>
  <c r="I76" i="2"/>
  <c r="L29" i="4" s="1"/>
  <c r="L34" i="4" s="1"/>
  <c r="L35" i="4" s="1"/>
  <c r="I7" i="2"/>
  <c r="I24" i="1" l="1"/>
  <c r="K12" i="1"/>
  <c r="K24" i="1" s="1"/>
  <c r="K25" i="1" s="1"/>
  <c r="M54" i="1" s="1"/>
  <c r="K48" i="1"/>
  <c r="I48" i="1"/>
  <c r="M29" i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C40" i="1" s="1"/>
  <c r="M48" i="1" l="1"/>
  <c r="M12" i="1"/>
  <c r="C13" i="1" l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4" i="1" s="1"/>
  <c r="M53" i="1" s="1"/>
</calcChain>
</file>

<file path=xl/sharedStrings.xml><?xml version="1.0" encoding="utf-8"?>
<sst xmlns="http://schemas.openxmlformats.org/spreadsheetml/2006/main" count="354" uniqueCount="145">
  <si>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</si>
  <si>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</si>
  <si>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</si>
  <si>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</si>
  <si>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</si>
  <si>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</si>
  <si>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</si>
  <si>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</si>
  <si>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</si>
  <si>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</si>
  <si>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</si>
  <si>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</si>
  <si>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</si>
  <si>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</si>
  <si>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</si>
  <si>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</si>
  <si>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</si>
  <si>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</si>
  <si>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</si>
  <si>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</si>
  <si>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</si>
  <si>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</si>
  <si>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</si>
  <si>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</si>
  <si>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</si>
  <si>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</si>
  <si>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</si>
  <si>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</si>
  <si>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</si>
  <si>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</si>
  <si>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</si>
  <si>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</si>
  <si>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</si>
  <si>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</si>
  <si>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ОТЧЕТ ООО "Управляющая компания "ЮгДомКомфорт" за 2021г. перед собственниками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</si>
  <si>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</si>
  <si>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</si>
  <si>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</si>
  <si>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</si>
  <si>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</si>
  <si>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</si>
  <si>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</si>
  <si>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</si>
  <si>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</si>
  <si>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</si>
  <si>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</si>
  <si>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</si>
  <si>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</si>
  <si>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</si>
  <si>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</si>
  <si>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</si>
  <si>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</si>
  <si>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</si>
  <si>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</si>
  <si>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</si>
  <si>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</si>
  <si>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</si>
  <si>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газовых сетей - 0,38 руб.</t>
  </si>
  <si>
    <t>Приказ ГЖИ № 2243-Л  от 30.11.21г.</t>
  </si>
  <si>
    <t xml:space="preserve">Содержание газовых сетей </t>
  </si>
  <si>
    <t>Управляющая компания ООО "УК "ЮгДомКомфорт" с  01.12.2021 г.</t>
  </si>
  <si>
    <t>Приказ ГЖИ № 2243-Л от 30.11.21г.</t>
  </si>
  <si>
    <t>Лицевой счет МКД по адресу: г. Таганрог, ул.  Транспортная, д. 58</t>
  </si>
  <si>
    <t>S жилых помещений - 435,89 м²</t>
  </si>
  <si>
    <t>Протокол №1 от 22 сентября 2021г.</t>
  </si>
  <si>
    <t>Тариф -16,23 руб.</t>
  </si>
  <si>
    <t>Содержание общего имущества МКД -5,31 руб.</t>
  </si>
  <si>
    <t>Ремонт общего имущества МКД - 5,30 руб.</t>
  </si>
  <si>
    <t>Управление многоквартирным домом - 2,24 руб.</t>
  </si>
  <si>
    <t>Вознаграждение председателя Совета МКД - 3,00 руб.</t>
  </si>
  <si>
    <t xml:space="preserve">Вознаграждение председателя Совета МКД </t>
  </si>
  <si>
    <t>на доме № 58 по ул. Транспортная</t>
  </si>
  <si>
    <t>дома по адресу: Ростовская область, г. Таганрог, ул.Транспортная, д. 58</t>
  </si>
  <si>
    <t>Вознаграждение председателю Совета МКД - 3,00 руб.</t>
  </si>
  <si>
    <t xml:space="preserve">Вознаграждение председателю Совета МКД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</si>
  <si>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</si>
  <si>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</si>
  <si>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</si>
  <si>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</si>
  <si>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</si>
  <si>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</si>
  <si>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</si>
  <si>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</si>
  <si>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</si>
  <si>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</si>
  <si>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</si>
  <si>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 xml:space="preserve">Остаток по статье "Содержание общего имущества МКД" на конец периода </t>
  </si>
  <si>
    <t>усл.</t>
  </si>
  <si>
    <t>Проверка вентканалов и дымоходов</t>
  </si>
  <si>
    <t>ТО ВДГО</t>
  </si>
  <si>
    <t xml:space="preserve">Остаток по статье "Ремонт общего имущества МКД" на конец периода </t>
  </si>
  <si>
    <t>Должники на 01.01.2023г.</t>
  </si>
  <si>
    <t>Баланс дома на 01.12.2023г.</t>
  </si>
  <si>
    <t>Информация за 2023г.</t>
  </si>
  <si>
    <t>Начисленно средств за 2023г.</t>
  </si>
  <si>
    <t>Оплачено средств за 2023г.</t>
  </si>
  <si>
    <t>Задолженность на 31.12.2023г.</t>
  </si>
  <si>
    <t>за период с 01.01.2023г. по 31.12.2023г.</t>
  </si>
  <si>
    <t>ЯНВАРЬ 2023г.</t>
  </si>
  <si>
    <t>Информационное обслуживание, раскрытие информаации на сайте ГИС ЖКХ</t>
  </si>
  <si>
    <t>31.01.2023г.</t>
  </si>
  <si>
    <t>ИТОГО январь 2023г.</t>
  </si>
  <si>
    <t>ФЕВРАЛЬ 2023г.</t>
  </si>
  <si>
    <t>28.02.2023г.</t>
  </si>
  <si>
    <t>ИТОГО февраль 2023г.</t>
  </si>
  <si>
    <t>МАРТ 2023г.</t>
  </si>
  <si>
    <t>31.03.2023г.</t>
  </si>
  <si>
    <t>ИТОГО март 2023г.</t>
  </si>
  <si>
    <t>АПРЕЛЬ 2023г.</t>
  </si>
  <si>
    <t>Замена участка ХВС с заменой сбросного крана и запорной арматурой</t>
  </si>
  <si>
    <t>30.04.2023г.</t>
  </si>
  <si>
    <t>ИТОГО апрель 2023г.</t>
  </si>
  <si>
    <t>МАЙ 2023г.</t>
  </si>
  <si>
    <t xml:space="preserve">Гидравлические испытания системы отопления </t>
  </si>
  <si>
    <t>31.05.2023г.</t>
  </si>
  <si>
    <t>ИТОГО май 2023г.</t>
  </si>
  <si>
    <t>ИЮНЬ 2023г.</t>
  </si>
  <si>
    <t>30.06.2023г.</t>
  </si>
  <si>
    <t>ИТОГО июнь 2023г.</t>
  </si>
  <si>
    <t>ИЮЛЬ 2023г.</t>
  </si>
  <si>
    <t>31.07.2023г.</t>
  </si>
  <si>
    <t>Демонтаж уличных светильников (капремонт фасада)</t>
  </si>
  <si>
    <t>Ремонт стояка ХВС</t>
  </si>
  <si>
    <t>Ремонт креплений изолдяторов, переподключение кабеля</t>
  </si>
  <si>
    <t>ИТОГО июль 2023г.</t>
  </si>
  <si>
    <t>АВГУСТ 2023г.</t>
  </si>
  <si>
    <t>31.08.2023г.</t>
  </si>
  <si>
    <t>ИТОГО август 2023г.</t>
  </si>
  <si>
    <t>СЕНТЯБРЬ 2023г.</t>
  </si>
  <si>
    <t>30.09.2023г.</t>
  </si>
  <si>
    <t>ИТОГО сентябрь 2023г.</t>
  </si>
  <si>
    <t>ОКТЯБРЬ 2023г.</t>
  </si>
  <si>
    <t>Помывка, шайбировка</t>
  </si>
  <si>
    <t>ИТОГО октябрь 2023г.</t>
  </si>
  <si>
    <t>НОЯБРЬ 2023г.</t>
  </si>
  <si>
    <t>31.10.2023г.</t>
  </si>
  <si>
    <t>30.11.2023г.</t>
  </si>
  <si>
    <t>ИТОГО ноябрь 2023г.</t>
  </si>
  <si>
    <t>ДЕКАБРЬ 2023г.</t>
  </si>
  <si>
    <t>31.12.2023г.</t>
  </si>
  <si>
    <t>ИТОГО декабрь 2023г.</t>
  </si>
  <si>
    <t xml:space="preserve">ИТОГО за 2023г. </t>
  </si>
  <si>
    <t>с 01.01.2023г. по 31.12.2023г.</t>
  </si>
  <si>
    <t>Содержание ОИ</t>
  </si>
  <si>
    <t>Ремонт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</si>
</sst>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9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0" borderId="3" xfId="0" applyNumberFormat="1" applyFont="1" applyBorder="1"/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0" fontId="4" fillId="0" borderId="0" xfId="2" applyFont="1" applyAlignment="1">
      <alignment horizontal="left" vertical="center" wrapText="1"/>
    </xf>
    <xf numFmtId="4" fontId="4" fillId="0" borderId="0" xfId="2" applyNumberFormat="1" applyFont="1" applyAlignment="1">
      <alignment horizontal="right" vertical="center" wrapText="1"/>
    </xf>
    <xf numFmtId="2" fontId="0" fillId="0" borderId="0" xfId="0" applyNumberFormat="1"/>
    <xf numFmtId="4" fontId="10" fillId="0" borderId="0" xfId="2" applyNumberFormat="1"/>
    <xf numFmtId="4" fontId="3" fillId="0" borderId="4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4" fontId="8" fillId="0" borderId="4" xfId="0" applyNumberFormat="1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3" fillId="4" borderId="4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4" xfId="0" applyFont="1" applyBorder="1"/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4" fontId="3" fillId="0" borderId="1" xfId="0" applyNumberFormat="1" applyFont="1" applyBorder="1"/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0" borderId="4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58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88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x14ac:dyDescent="0.3">
      <c r="A2" s="86" t="s">
        <v>63</v>
      </c>
      <c r="B2" s="87"/>
      <c r="C2" s="87"/>
      <c r="D2" s="68"/>
      <c r="E2" s="86" t="s">
        <v>64</v>
      </c>
      <c r="F2" s="87"/>
      <c r="G2" s="87"/>
      <c r="H2" s="87"/>
      <c r="I2" s="68"/>
      <c r="J2" s="86" t="s">
        <v>58</v>
      </c>
      <c r="K2" s="87"/>
      <c r="L2" s="87"/>
      <c r="M2" s="68"/>
    </row>
    <row r="3" spans="1:13" x14ac:dyDescent="0.3">
      <c r="A3" s="86" t="s">
        <v>65</v>
      </c>
      <c r="B3" s="68"/>
      <c r="C3" s="86" t="s">
        <v>66</v>
      </c>
      <c r="D3" s="87"/>
      <c r="E3" s="87"/>
      <c r="F3" s="87"/>
      <c r="G3" s="87"/>
      <c r="H3" s="68"/>
      <c r="I3" s="86" t="s">
        <v>67</v>
      </c>
      <c r="J3" s="87"/>
      <c r="K3" s="87"/>
      <c r="L3" s="87"/>
      <c r="M3" s="68"/>
    </row>
    <row r="4" spans="1:13" x14ac:dyDescent="0.3">
      <c r="A4" s="86" t="s">
        <v>68</v>
      </c>
      <c r="B4" s="87"/>
      <c r="C4" s="87"/>
      <c r="D4" s="87"/>
      <c r="E4" s="87"/>
      <c r="F4" s="87"/>
      <c r="G4" s="68"/>
      <c r="H4" s="86" t="s">
        <v>57</v>
      </c>
      <c r="I4" s="87"/>
      <c r="J4" s="87"/>
      <c r="K4" s="87"/>
      <c r="L4" s="87"/>
      <c r="M4" s="68"/>
    </row>
    <row r="5" spans="1:13" x14ac:dyDescent="0.3">
      <c r="A5" s="86" t="s">
        <v>69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68"/>
    </row>
    <row r="6" spans="1:13" x14ac:dyDescent="0.3">
      <c r="A6" s="86" t="s">
        <v>91</v>
      </c>
      <c r="B6" s="87"/>
      <c r="C6" s="87"/>
      <c r="D6" s="68"/>
      <c r="E6" s="56">
        <v>12594.78</v>
      </c>
      <c r="F6" s="57"/>
      <c r="G6" s="86" t="s">
        <v>94</v>
      </c>
      <c r="H6" s="87"/>
      <c r="I6" s="87"/>
      <c r="J6" s="87"/>
      <c r="K6" s="68"/>
      <c r="L6" s="56">
        <f>E24+E41</f>
        <v>55497.72</v>
      </c>
      <c r="M6" s="57"/>
    </row>
    <row r="7" spans="1:13" x14ac:dyDescent="0.3">
      <c r="A7" s="86" t="s">
        <v>92</v>
      </c>
      <c r="B7" s="87"/>
      <c r="C7" s="87"/>
      <c r="D7" s="68"/>
      <c r="E7" s="56">
        <v>913.4</v>
      </c>
      <c r="F7" s="57"/>
      <c r="G7" s="86" t="s">
        <v>95</v>
      </c>
      <c r="H7" s="87"/>
      <c r="I7" s="87"/>
      <c r="J7" s="87"/>
      <c r="K7" s="68"/>
      <c r="L7" s="56">
        <f>G24+G41</f>
        <v>56034.240000000005</v>
      </c>
      <c r="M7" s="68"/>
    </row>
    <row r="8" spans="1:13" x14ac:dyDescent="0.3">
      <c r="A8" s="71" t="s">
        <v>93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x14ac:dyDescent="0.3">
      <c r="A9" s="88" t="s">
        <v>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3" ht="14.25" customHeight="1" x14ac:dyDescent="0.3">
      <c r="A10" s="86" t="s">
        <v>55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56">
        <v>-20720.27</v>
      </c>
      <c r="M10" s="57"/>
    </row>
    <row r="11" spans="1:13" ht="54.75" customHeight="1" x14ac:dyDescent="0.3">
      <c r="A11" s="81" t="s">
        <v>1</v>
      </c>
      <c r="B11" s="81"/>
      <c r="C11" s="67" t="s">
        <v>6</v>
      </c>
      <c r="D11" s="81"/>
      <c r="E11" s="67" t="s">
        <v>2</v>
      </c>
      <c r="F11" s="81"/>
      <c r="G11" s="67" t="s">
        <v>3</v>
      </c>
      <c r="H11" s="67"/>
      <c r="I11" s="82" t="s">
        <v>4</v>
      </c>
      <c r="J11" s="82"/>
      <c r="K11" s="83" t="s">
        <v>5</v>
      </c>
      <c r="L11" s="84"/>
      <c r="M11" s="2" t="s">
        <v>8</v>
      </c>
    </row>
    <row r="12" spans="1:13" x14ac:dyDescent="0.3">
      <c r="A12" s="59" t="s">
        <v>75</v>
      </c>
      <c r="B12" s="59"/>
      <c r="C12" s="58">
        <v>3721.33</v>
      </c>
      <c r="D12" s="59"/>
      <c r="E12" s="58">
        <v>2314.58</v>
      </c>
      <c r="F12" s="58"/>
      <c r="G12" s="58">
        <v>2148.89</v>
      </c>
      <c r="H12" s="58"/>
      <c r="I12" s="111">
        <f>'СОДЕРЖАНИЕ ЖИЛЬЯ'!I14</f>
        <v>1464.5259699999999</v>
      </c>
      <c r="J12" s="59"/>
      <c r="K12" s="58">
        <f>G12-I12</f>
        <v>684.36402999999996</v>
      </c>
      <c r="L12" s="59"/>
      <c r="M12" s="3">
        <f>C12+E12-G12</f>
        <v>3887.02</v>
      </c>
    </row>
    <row r="13" spans="1:13" x14ac:dyDescent="0.3">
      <c r="A13" s="59" t="s">
        <v>76</v>
      </c>
      <c r="B13" s="59"/>
      <c r="C13" s="56">
        <f>M12</f>
        <v>3887.02</v>
      </c>
      <c r="D13" s="57"/>
      <c r="E13" s="56">
        <v>2314.58</v>
      </c>
      <c r="F13" s="57"/>
      <c r="G13" s="56">
        <v>2737.14</v>
      </c>
      <c r="H13" s="57"/>
      <c r="I13" s="112">
        <f>'СОДЕРЖАНИЕ ЖИЛЬЯ'!I20</f>
        <v>4946.5947699999997</v>
      </c>
      <c r="J13" s="68"/>
      <c r="K13" s="58">
        <f t="shared" ref="K13:K23" si="0">G13-I13</f>
        <v>-2209.4547699999998</v>
      </c>
      <c r="L13" s="59"/>
      <c r="M13" s="3">
        <f t="shared" ref="M13:M22" si="1">C13+E13-G13</f>
        <v>3464.4600000000005</v>
      </c>
    </row>
    <row r="14" spans="1:13" x14ac:dyDescent="0.3">
      <c r="A14" s="59" t="s">
        <v>77</v>
      </c>
      <c r="B14" s="59"/>
      <c r="C14" s="56">
        <f t="shared" ref="C14:C23" si="2">M13</f>
        <v>3464.4600000000005</v>
      </c>
      <c r="D14" s="57"/>
      <c r="E14" s="56">
        <v>2314.58</v>
      </c>
      <c r="F14" s="57"/>
      <c r="G14" s="56">
        <v>1962.05</v>
      </c>
      <c r="H14" s="57"/>
      <c r="I14" s="112">
        <f>'СОДЕРЖАНИЕ ЖИЛЬЯ'!I25</f>
        <v>1454.5352499999999</v>
      </c>
      <c r="J14" s="68"/>
      <c r="K14" s="58">
        <f t="shared" si="0"/>
        <v>507.51475000000005</v>
      </c>
      <c r="L14" s="59"/>
      <c r="M14" s="3">
        <f t="shared" si="1"/>
        <v>3816.9900000000007</v>
      </c>
    </row>
    <row r="15" spans="1:13" x14ac:dyDescent="0.3">
      <c r="A15" s="59" t="s">
        <v>78</v>
      </c>
      <c r="B15" s="59"/>
      <c r="C15" s="56">
        <f t="shared" si="2"/>
        <v>3816.9900000000007</v>
      </c>
      <c r="D15" s="57"/>
      <c r="E15" s="56">
        <v>2314.58</v>
      </c>
      <c r="F15" s="57"/>
      <c r="G15" s="56">
        <v>3028.66</v>
      </c>
      <c r="H15" s="57"/>
      <c r="I15" s="112">
        <f>'СОДЕРЖАНИЕ ЖИЛЬЯ'!I31</f>
        <v>4835.2958900000003</v>
      </c>
      <c r="J15" s="68"/>
      <c r="K15" s="58">
        <f t="shared" si="0"/>
        <v>-1806.6358900000005</v>
      </c>
      <c r="L15" s="59"/>
      <c r="M15" s="3">
        <f t="shared" si="1"/>
        <v>3102.9100000000008</v>
      </c>
    </row>
    <row r="16" spans="1:13" x14ac:dyDescent="0.3">
      <c r="A16" s="59" t="s">
        <v>79</v>
      </c>
      <c r="B16" s="59"/>
      <c r="C16" s="56">
        <f t="shared" si="2"/>
        <v>3102.9100000000008</v>
      </c>
      <c r="D16" s="57"/>
      <c r="E16" s="56">
        <v>2314.58</v>
      </c>
      <c r="F16" s="57"/>
      <c r="G16" s="56">
        <v>2314.5</v>
      </c>
      <c r="H16" s="57"/>
      <c r="I16" s="112">
        <f>'СОДЕРЖАНИЕ ЖИЛЬЯ'!I37</f>
        <v>12599.67749</v>
      </c>
      <c r="J16" s="68"/>
      <c r="K16" s="58">
        <f t="shared" si="0"/>
        <v>-10285.17749</v>
      </c>
      <c r="L16" s="59"/>
      <c r="M16" s="3">
        <f t="shared" si="1"/>
        <v>3102.9900000000007</v>
      </c>
    </row>
    <row r="17" spans="1:16" x14ac:dyDescent="0.3">
      <c r="A17" s="59" t="s">
        <v>80</v>
      </c>
      <c r="B17" s="59"/>
      <c r="C17" s="56">
        <f t="shared" si="2"/>
        <v>3102.9900000000007</v>
      </c>
      <c r="D17" s="57"/>
      <c r="E17" s="56">
        <v>2314.58</v>
      </c>
      <c r="F17" s="57"/>
      <c r="G17" s="56">
        <v>1698.36</v>
      </c>
      <c r="H17" s="57"/>
      <c r="I17" s="112">
        <f>'СОДЕРЖАНИЕ ЖИЛЬЯ'!I42</f>
        <v>1440.21381</v>
      </c>
      <c r="J17" s="68"/>
      <c r="K17" s="58">
        <f t="shared" si="0"/>
        <v>258.14618999999993</v>
      </c>
      <c r="L17" s="59"/>
      <c r="M17" s="3">
        <f t="shared" si="1"/>
        <v>3719.2100000000009</v>
      </c>
    </row>
    <row r="18" spans="1:16" x14ac:dyDescent="0.3">
      <c r="A18" s="59" t="s">
        <v>81</v>
      </c>
      <c r="B18" s="59"/>
      <c r="C18" s="56">
        <f t="shared" si="2"/>
        <v>3719.2100000000009</v>
      </c>
      <c r="D18" s="57"/>
      <c r="E18" s="56">
        <v>2314.58</v>
      </c>
      <c r="F18" s="57"/>
      <c r="G18" s="56">
        <v>4443.29</v>
      </c>
      <c r="H18" s="57"/>
      <c r="I18" s="112">
        <f>'СОДЕРЖАНИЕ ЖИЛЬЯ'!I47</f>
        <v>1589.1778100000001</v>
      </c>
      <c r="J18" s="68"/>
      <c r="K18" s="58">
        <f t="shared" si="0"/>
        <v>2854.1121899999998</v>
      </c>
      <c r="L18" s="59"/>
      <c r="M18" s="3">
        <f t="shared" si="1"/>
        <v>1590.5000000000009</v>
      </c>
    </row>
    <row r="19" spans="1:16" x14ac:dyDescent="0.3">
      <c r="A19" s="59" t="s">
        <v>82</v>
      </c>
      <c r="B19" s="59"/>
      <c r="C19" s="56">
        <f t="shared" si="2"/>
        <v>1590.5000000000009</v>
      </c>
      <c r="D19" s="57"/>
      <c r="E19" s="56">
        <v>2314.58</v>
      </c>
      <c r="F19" s="57"/>
      <c r="G19" s="56">
        <v>1168.46</v>
      </c>
      <c r="H19" s="57"/>
      <c r="I19" s="112">
        <f>'СОДЕРЖАНИЕ ЖИЛЬЯ'!I52</f>
        <v>1411.4349299999999</v>
      </c>
      <c r="J19" s="68"/>
      <c r="K19" s="58">
        <f t="shared" si="0"/>
        <v>-242.97492999999986</v>
      </c>
      <c r="L19" s="59"/>
      <c r="M19" s="3">
        <f t="shared" si="1"/>
        <v>2736.6200000000008</v>
      </c>
    </row>
    <row r="20" spans="1:16" x14ac:dyDescent="0.3">
      <c r="A20" s="59" t="s">
        <v>83</v>
      </c>
      <c r="B20" s="59"/>
      <c r="C20" s="56">
        <f t="shared" si="2"/>
        <v>2736.6200000000008</v>
      </c>
      <c r="D20" s="57"/>
      <c r="E20" s="56">
        <v>2314.58</v>
      </c>
      <c r="F20" s="57"/>
      <c r="G20" s="56">
        <v>1952.47</v>
      </c>
      <c r="H20" s="57"/>
      <c r="I20" s="112">
        <f>'СОДЕРЖАНИЕ ЖИЛЬЯ'!I57</f>
        <v>1453.9006899999999</v>
      </c>
      <c r="J20" s="68"/>
      <c r="K20" s="58">
        <f t="shared" si="0"/>
        <v>498.56931000000009</v>
      </c>
      <c r="L20" s="59"/>
      <c r="M20" s="3">
        <f t="shared" si="1"/>
        <v>3098.7300000000005</v>
      </c>
      <c r="P20" s="46"/>
    </row>
    <row r="21" spans="1:16" x14ac:dyDescent="0.3">
      <c r="A21" s="59" t="s">
        <v>84</v>
      </c>
      <c r="B21" s="59"/>
      <c r="C21" s="56">
        <f t="shared" si="2"/>
        <v>3098.7300000000005</v>
      </c>
      <c r="D21" s="57"/>
      <c r="E21" s="56">
        <v>2314.58</v>
      </c>
      <c r="F21" s="57"/>
      <c r="G21" s="56">
        <v>3204.15</v>
      </c>
      <c r="H21" s="57"/>
      <c r="I21" s="112">
        <f>'СОДЕРЖАНИЕ ЖИЛЬЯ'!I64</f>
        <v>7545.9954099999995</v>
      </c>
      <c r="J21" s="68"/>
      <c r="K21" s="58">
        <f t="shared" si="0"/>
        <v>-4341.8454099999999</v>
      </c>
      <c r="L21" s="59"/>
      <c r="M21" s="3">
        <f t="shared" si="1"/>
        <v>2209.1600000000003</v>
      </c>
    </row>
    <row r="22" spans="1:16" x14ac:dyDescent="0.3">
      <c r="A22" s="59" t="s">
        <v>85</v>
      </c>
      <c r="B22" s="59"/>
      <c r="C22" s="56">
        <f t="shared" si="2"/>
        <v>2209.1600000000003</v>
      </c>
      <c r="D22" s="57"/>
      <c r="E22" s="56">
        <v>2314.58</v>
      </c>
      <c r="F22" s="57"/>
      <c r="G22" s="56">
        <v>1698.66</v>
      </c>
      <c r="H22" s="57"/>
      <c r="I22" s="112">
        <f>'СОДЕРЖАНИЕ ЖИЛЬЯ'!I69</f>
        <v>1443.24506</v>
      </c>
      <c r="J22" s="68"/>
      <c r="K22" s="58">
        <f t="shared" si="0"/>
        <v>255.41494000000012</v>
      </c>
      <c r="L22" s="59"/>
      <c r="M22" s="3">
        <f t="shared" si="1"/>
        <v>2825.08</v>
      </c>
    </row>
    <row r="23" spans="1:16" x14ac:dyDescent="0.3">
      <c r="A23" s="59" t="s">
        <v>7</v>
      </c>
      <c r="B23" s="59"/>
      <c r="C23" s="56">
        <f t="shared" si="2"/>
        <v>2825.08</v>
      </c>
      <c r="D23" s="57"/>
      <c r="E23" s="56">
        <v>2314.58</v>
      </c>
      <c r="F23" s="57"/>
      <c r="G23" s="56">
        <v>1686.84</v>
      </c>
      <c r="H23" s="57"/>
      <c r="I23" s="112">
        <f>'СОДЕРЖАНИЕ ЖИЛЬЯ'!I75</f>
        <v>3841.1922599999998</v>
      </c>
      <c r="J23" s="68"/>
      <c r="K23" s="58">
        <f t="shared" si="0"/>
        <v>-2154.3522599999997</v>
      </c>
      <c r="L23" s="59"/>
      <c r="M23" s="48">
        <v>3453.12</v>
      </c>
    </row>
    <row r="24" spans="1:16" x14ac:dyDescent="0.3">
      <c r="A24" s="64" t="s">
        <v>9</v>
      </c>
      <c r="B24" s="64"/>
      <c r="C24" s="65"/>
      <c r="D24" s="66"/>
      <c r="E24" s="62">
        <f>SUM(E12:E23)</f>
        <v>27774.960000000006</v>
      </c>
      <c r="F24" s="64"/>
      <c r="G24" s="62">
        <f>SUM(G12:G23)</f>
        <v>28043.47</v>
      </c>
      <c r="H24" s="62"/>
      <c r="I24" s="62">
        <f>SUM(I12:I23)</f>
        <v>44025.789340000003</v>
      </c>
      <c r="J24" s="62"/>
      <c r="K24" s="62">
        <f>SUM(K12:K23)</f>
        <v>-15982.31934</v>
      </c>
      <c r="L24" s="64"/>
      <c r="M24" s="4">
        <f>M23</f>
        <v>3453.12</v>
      </c>
    </row>
    <row r="25" spans="1:16" x14ac:dyDescent="0.3">
      <c r="A25" s="51" t="s">
        <v>86</v>
      </c>
      <c r="B25" s="52"/>
      <c r="C25" s="52"/>
      <c r="D25" s="52"/>
      <c r="E25" s="52"/>
      <c r="F25" s="52"/>
      <c r="G25" s="52"/>
      <c r="H25" s="52"/>
      <c r="I25" s="52"/>
      <c r="J25" s="52"/>
      <c r="K25" s="85">
        <f>L10+K24</f>
        <v>-36702.589339999999</v>
      </c>
      <c r="L25" s="85"/>
      <c r="M25" s="42"/>
    </row>
    <row r="26" spans="1:16" x14ac:dyDescent="0.3">
      <c r="A26" s="88" t="s">
        <v>10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</row>
    <row r="27" spans="1:16" x14ac:dyDescent="0.3">
      <c r="A27" s="86" t="s">
        <v>56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56">
        <v>21633.67</v>
      </c>
      <c r="M27" s="57"/>
    </row>
    <row r="28" spans="1:16" ht="53.25" customHeight="1" x14ac:dyDescent="0.3">
      <c r="A28" s="81" t="s">
        <v>1</v>
      </c>
      <c r="B28" s="81"/>
      <c r="C28" s="67" t="s">
        <v>6</v>
      </c>
      <c r="D28" s="81"/>
      <c r="E28" s="67" t="s">
        <v>2</v>
      </c>
      <c r="F28" s="81"/>
      <c r="G28" s="67" t="s">
        <v>3</v>
      </c>
      <c r="H28" s="67"/>
      <c r="I28" s="82" t="s">
        <v>4</v>
      </c>
      <c r="J28" s="82"/>
      <c r="K28" s="83" t="s">
        <v>5</v>
      </c>
      <c r="L28" s="84"/>
      <c r="M28" s="2" t="s">
        <v>8</v>
      </c>
    </row>
    <row r="29" spans="1:16" x14ac:dyDescent="0.3">
      <c r="A29" s="59" t="s">
        <v>75</v>
      </c>
      <c r="B29" s="59"/>
      <c r="C29" s="58">
        <v>3714.32</v>
      </c>
      <c r="D29" s="59"/>
      <c r="E29" s="58">
        <v>2310.23</v>
      </c>
      <c r="F29" s="58"/>
      <c r="G29" s="58">
        <v>2144.87</v>
      </c>
      <c r="H29" s="58"/>
      <c r="I29" s="58">
        <v>0</v>
      </c>
      <c r="J29" s="58"/>
      <c r="K29" s="58">
        <f>G29-I29</f>
        <v>2144.87</v>
      </c>
      <c r="L29" s="59"/>
      <c r="M29" s="3">
        <f>C29+E29-G29</f>
        <v>3879.6800000000003</v>
      </c>
    </row>
    <row r="30" spans="1:16" x14ac:dyDescent="0.3">
      <c r="A30" s="59" t="s">
        <v>76</v>
      </c>
      <c r="B30" s="59"/>
      <c r="C30" s="56">
        <f>M29</f>
        <v>3879.6800000000003</v>
      </c>
      <c r="D30" s="57"/>
      <c r="E30" s="58">
        <v>2310.23</v>
      </c>
      <c r="F30" s="58"/>
      <c r="G30" s="56">
        <v>2731.97</v>
      </c>
      <c r="H30" s="57"/>
      <c r="I30" s="56">
        <v>0</v>
      </c>
      <c r="J30" s="57"/>
      <c r="K30" s="58">
        <f t="shared" ref="K30:K40" si="3">G30-I30</f>
        <v>2731.97</v>
      </c>
      <c r="L30" s="59"/>
      <c r="M30" s="3">
        <f t="shared" ref="M30:M39" si="4">C30+E30-G30</f>
        <v>3457.94</v>
      </c>
    </row>
    <row r="31" spans="1:16" x14ac:dyDescent="0.3">
      <c r="A31" s="59" t="s">
        <v>77</v>
      </c>
      <c r="B31" s="59"/>
      <c r="C31" s="56">
        <f t="shared" ref="C31:C40" si="5">M30</f>
        <v>3457.94</v>
      </c>
      <c r="D31" s="57"/>
      <c r="E31" s="58">
        <v>2310.23</v>
      </c>
      <c r="F31" s="58"/>
      <c r="G31" s="56">
        <v>1958.36</v>
      </c>
      <c r="H31" s="57"/>
      <c r="I31" s="56">
        <v>0</v>
      </c>
      <c r="J31" s="57"/>
      <c r="K31" s="58">
        <f t="shared" si="3"/>
        <v>1958.36</v>
      </c>
      <c r="L31" s="59"/>
      <c r="M31" s="3">
        <f t="shared" si="4"/>
        <v>3809.8100000000004</v>
      </c>
    </row>
    <row r="32" spans="1:16" x14ac:dyDescent="0.3">
      <c r="A32" s="59" t="s">
        <v>78</v>
      </c>
      <c r="B32" s="59"/>
      <c r="C32" s="56">
        <f t="shared" si="5"/>
        <v>3809.8100000000004</v>
      </c>
      <c r="D32" s="57"/>
      <c r="E32" s="58">
        <v>2310.23</v>
      </c>
      <c r="F32" s="58"/>
      <c r="G32" s="56">
        <v>3022.98</v>
      </c>
      <c r="H32" s="57"/>
      <c r="I32" s="56">
        <v>0</v>
      </c>
      <c r="J32" s="57"/>
      <c r="K32" s="58">
        <f t="shared" si="3"/>
        <v>3022.98</v>
      </c>
      <c r="L32" s="59"/>
      <c r="M32" s="3">
        <f t="shared" si="4"/>
        <v>3097.0600000000009</v>
      </c>
    </row>
    <row r="33" spans="1:19" x14ac:dyDescent="0.3">
      <c r="A33" s="59" t="s">
        <v>79</v>
      </c>
      <c r="B33" s="59"/>
      <c r="C33" s="56">
        <f t="shared" si="5"/>
        <v>3097.0600000000009</v>
      </c>
      <c r="D33" s="57"/>
      <c r="E33" s="58">
        <v>2310.23</v>
      </c>
      <c r="F33" s="58"/>
      <c r="G33" s="56">
        <v>2310.15</v>
      </c>
      <c r="H33" s="57"/>
      <c r="I33" s="56">
        <v>0</v>
      </c>
      <c r="J33" s="57"/>
      <c r="K33" s="58">
        <f t="shared" si="3"/>
        <v>2310.15</v>
      </c>
      <c r="L33" s="59"/>
      <c r="M33" s="3">
        <f t="shared" si="4"/>
        <v>3097.1400000000008</v>
      </c>
    </row>
    <row r="34" spans="1:19" x14ac:dyDescent="0.3">
      <c r="A34" s="59" t="s">
        <v>80</v>
      </c>
      <c r="B34" s="59"/>
      <c r="C34" s="56">
        <f t="shared" si="5"/>
        <v>3097.1400000000008</v>
      </c>
      <c r="D34" s="57"/>
      <c r="E34" s="58">
        <v>2310.23</v>
      </c>
      <c r="F34" s="58"/>
      <c r="G34" s="56">
        <v>1695.16</v>
      </c>
      <c r="H34" s="57"/>
      <c r="I34" s="56">
        <v>0</v>
      </c>
      <c r="J34" s="57"/>
      <c r="K34" s="58">
        <f t="shared" si="3"/>
        <v>1695.16</v>
      </c>
      <c r="L34" s="59"/>
      <c r="M34" s="3">
        <f t="shared" si="4"/>
        <v>3712.2100000000009</v>
      </c>
    </row>
    <row r="35" spans="1:19" x14ac:dyDescent="0.3">
      <c r="A35" s="59" t="s">
        <v>81</v>
      </c>
      <c r="B35" s="59"/>
      <c r="C35" s="56">
        <f t="shared" si="5"/>
        <v>3712.2100000000009</v>
      </c>
      <c r="D35" s="57"/>
      <c r="E35" s="58">
        <v>2310.23</v>
      </c>
      <c r="F35" s="58"/>
      <c r="G35" s="56">
        <v>4434.9399999999996</v>
      </c>
      <c r="H35" s="57"/>
      <c r="I35" s="56">
        <v>1633</v>
      </c>
      <c r="J35" s="57"/>
      <c r="K35" s="58">
        <f t="shared" si="3"/>
        <v>2801.9399999999996</v>
      </c>
      <c r="L35" s="59"/>
      <c r="M35" s="3">
        <f t="shared" si="4"/>
        <v>1587.5000000000009</v>
      </c>
    </row>
    <row r="36" spans="1:19" x14ac:dyDescent="0.3">
      <c r="A36" s="59" t="s">
        <v>82</v>
      </c>
      <c r="B36" s="59"/>
      <c r="C36" s="56">
        <f t="shared" si="5"/>
        <v>1587.5000000000009</v>
      </c>
      <c r="D36" s="57"/>
      <c r="E36" s="58">
        <v>2310.23</v>
      </c>
      <c r="F36" s="58"/>
      <c r="G36" s="56">
        <v>1166.27</v>
      </c>
      <c r="H36" s="57"/>
      <c r="I36" s="56">
        <v>0</v>
      </c>
      <c r="J36" s="57"/>
      <c r="K36" s="58">
        <f t="shared" si="3"/>
        <v>1166.27</v>
      </c>
      <c r="L36" s="59"/>
      <c r="M36" s="3">
        <f t="shared" si="4"/>
        <v>2731.4600000000009</v>
      </c>
    </row>
    <row r="37" spans="1:19" x14ac:dyDescent="0.3">
      <c r="A37" s="59" t="s">
        <v>83</v>
      </c>
      <c r="B37" s="59"/>
      <c r="C37" s="56">
        <f t="shared" si="5"/>
        <v>2731.4600000000009</v>
      </c>
      <c r="D37" s="57"/>
      <c r="E37" s="58">
        <v>2310.23</v>
      </c>
      <c r="F37" s="58"/>
      <c r="G37" s="56">
        <v>1948.8</v>
      </c>
      <c r="H37" s="57"/>
      <c r="I37" s="56">
        <v>0</v>
      </c>
      <c r="J37" s="57"/>
      <c r="K37" s="58">
        <f t="shared" si="3"/>
        <v>1948.8</v>
      </c>
      <c r="L37" s="59"/>
      <c r="M37" s="3">
        <f t="shared" si="4"/>
        <v>3092.8900000000003</v>
      </c>
    </row>
    <row r="38" spans="1:19" x14ac:dyDescent="0.3">
      <c r="A38" s="59" t="s">
        <v>84</v>
      </c>
      <c r="B38" s="59"/>
      <c r="C38" s="56">
        <f t="shared" si="5"/>
        <v>3092.8900000000003</v>
      </c>
      <c r="D38" s="57"/>
      <c r="E38" s="58">
        <v>2310.23</v>
      </c>
      <c r="F38" s="58"/>
      <c r="G38" s="56">
        <v>3198.13</v>
      </c>
      <c r="H38" s="57"/>
      <c r="I38" s="56">
        <v>0</v>
      </c>
      <c r="J38" s="57"/>
      <c r="K38" s="58">
        <f t="shared" si="3"/>
        <v>3198.13</v>
      </c>
      <c r="L38" s="59"/>
      <c r="M38" s="3">
        <f t="shared" si="4"/>
        <v>2204.9900000000007</v>
      </c>
    </row>
    <row r="39" spans="1:19" x14ac:dyDescent="0.3">
      <c r="A39" s="59" t="s">
        <v>85</v>
      </c>
      <c r="B39" s="59"/>
      <c r="C39" s="56">
        <f t="shared" si="5"/>
        <v>2204.9900000000007</v>
      </c>
      <c r="D39" s="57"/>
      <c r="E39" s="58">
        <v>2310.23</v>
      </c>
      <c r="F39" s="58"/>
      <c r="G39" s="56">
        <v>1695.47</v>
      </c>
      <c r="H39" s="57"/>
      <c r="I39" s="56">
        <v>0</v>
      </c>
      <c r="J39" s="57"/>
      <c r="K39" s="58">
        <f t="shared" si="3"/>
        <v>1695.47</v>
      </c>
      <c r="L39" s="59"/>
      <c r="M39" s="3">
        <f t="shared" si="4"/>
        <v>2819.7500000000009</v>
      </c>
    </row>
    <row r="40" spans="1:19" x14ac:dyDescent="0.3">
      <c r="A40" s="59" t="s">
        <v>7</v>
      </c>
      <c r="B40" s="59"/>
      <c r="C40" s="56">
        <f t="shared" si="5"/>
        <v>2819.7500000000009</v>
      </c>
      <c r="D40" s="57"/>
      <c r="E40" s="58">
        <v>2310.23</v>
      </c>
      <c r="F40" s="58"/>
      <c r="G40" s="56">
        <v>1683.67</v>
      </c>
      <c r="H40" s="57"/>
      <c r="I40" s="56">
        <v>0</v>
      </c>
      <c r="J40" s="57"/>
      <c r="K40" s="58">
        <f t="shared" si="3"/>
        <v>1683.67</v>
      </c>
      <c r="L40" s="59"/>
      <c r="M40" s="3">
        <v>3446.62</v>
      </c>
    </row>
    <row r="41" spans="1:19" x14ac:dyDescent="0.3">
      <c r="A41" s="64" t="s">
        <v>9</v>
      </c>
      <c r="B41" s="64"/>
      <c r="C41" s="65"/>
      <c r="D41" s="66"/>
      <c r="E41" s="62">
        <f>SUM(E29:E40)</f>
        <v>27722.76</v>
      </c>
      <c r="F41" s="64"/>
      <c r="G41" s="62">
        <f>SUM(G29:G40)</f>
        <v>27990.770000000004</v>
      </c>
      <c r="H41" s="62"/>
      <c r="I41" s="62">
        <f>SUM(I29:I40)</f>
        <v>1633</v>
      </c>
      <c r="J41" s="62"/>
      <c r="K41" s="62">
        <f>SUM(K29:K40)</f>
        <v>26357.770000000004</v>
      </c>
      <c r="L41" s="62"/>
      <c r="M41" s="4">
        <f>M40</f>
        <v>3446.62</v>
      </c>
      <c r="S41" s="46"/>
    </row>
    <row r="42" spans="1:19" x14ac:dyDescent="0.3">
      <c r="A42" s="51" t="s">
        <v>90</v>
      </c>
      <c r="B42" s="52"/>
      <c r="C42" s="52"/>
      <c r="D42" s="52"/>
      <c r="E42" s="52"/>
      <c r="F42" s="52"/>
      <c r="G42" s="52"/>
      <c r="H42" s="52"/>
      <c r="I42" s="52"/>
      <c r="J42" s="53"/>
      <c r="K42" s="54">
        <f>L27+K41</f>
        <v>47991.44</v>
      </c>
      <c r="L42" s="55"/>
      <c r="M42" s="4"/>
    </row>
    <row r="43" spans="1:19" x14ac:dyDescent="0.3">
      <c r="A43" s="63" t="s">
        <v>11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9" ht="46.5" customHeight="1" x14ac:dyDescent="0.3">
      <c r="A44" s="71" t="s">
        <v>12</v>
      </c>
      <c r="B44" s="72"/>
      <c r="C44" s="72"/>
      <c r="D44" s="73"/>
      <c r="E44" s="74" t="s">
        <v>6</v>
      </c>
      <c r="F44" s="75"/>
      <c r="G44" s="75"/>
      <c r="H44" s="76"/>
      <c r="I44" s="67" t="s">
        <v>2</v>
      </c>
      <c r="J44" s="81"/>
      <c r="K44" s="67" t="s">
        <v>3</v>
      </c>
      <c r="L44" s="67"/>
      <c r="M44" s="2" t="s">
        <v>8</v>
      </c>
    </row>
    <row r="45" spans="1:19" ht="17.25" customHeight="1" x14ac:dyDescent="0.3">
      <c r="A45" s="95" t="s">
        <v>14</v>
      </c>
      <c r="B45" s="96"/>
      <c r="C45" s="96"/>
      <c r="D45" s="97"/>
      <c r="E45" s="77">
        <v>78.260000000000005</v>
      </c>
      <c r="F45" s="78"/>
      <c r="G45" s="78"/>
      <c r="H45" s="79"/>
      <c r="I45" s="102">
        <f>52.3*12</f>
        <v>627.59999999999991</v>
      </c>
      <c r="J45" s="103"/>
      <c r="K45" s="92">
        <f>47.89+58.36+44.33+67.75+52.3+38.37+99.91+26.4+43.64+72.4+38.38+38.12</f>
        <v>627.84999999999991</v>
      </c>
      <c r="L45" s="93"/>
      <c r="M45" s="5">
        <v>78.02</v>
      </c>
      <c r="O45" s="46"/>
    </row>
    <row r="46" spans="1:19" x14ac:dyDescent="0.3">
      <c r="A46" s="86" t="s">
        <v>13</v>
      </c>
      <c r="B46" s="87"/>
      <c r="C46" s="87"/>
      <c r="D46" s="68"/>
      <c r="E46" s="56">
        <v>174.92</v>
      </c>
      <c r="F46" s="80"/>
      <c r="G46" s="80"/>
      <c r="H46" s="57"/>
      <c r="I46" s="56">
        <f>117.53+117.53+117.53+117.53+117.53+117.53+117.53+117.53+117.53+117.53+262.08+136.32</f>
        <v>1573.6999999999998</v>
      </c>
      <c r="J46" s="57"/>
      <c r="K46" s="56">
        <f>107.62+130.37+99.63+152.05+117.53+86.24+224.52+59.33+98.05+162.71+103.02+163.6</f>
        <v>1504.67</v>
      </c>
      <c r="L46" s="68"/>
      <c r="M46" s="5">
        <v>243.95</v>
      </c>
    </row>
    <row r="47" spans="1:19" x14ac:dyDescent="0.3">
      <c r="A47" s="86" t="s">
        <v>15</v>
      </c>
      <c r="B47" s="87"/>
      <c r="C47" s="87"/>
      <c r="D47" s="68"/>
      <c r="E47" s="56">
        <v>967.35</v>
      </c>
      <c r="F47" s="80"/>
      <c r="G47" s="80"/>
      <c r="H47" s="57"/>
      <c r="I47" s="86">
        <f>612.32+612.32+612.32+612.32+612.32+612.32+612.32+612.32+612.32+612.32+612.32+612.32</f>
        <v>7347.8399999999992</v>
      </c>
      <c r="J47" s="68"/>
      <c r="K47" s="56">
        <f>560.81+733.98+519.06+793.14+612.3+449.3+1169.79+309.12+510.97+847.66+449.38+446.24</f>
        <v>7401.75</v>
      </c>
      <c r="L47" s="68"/>
      <c r="M47" s="5">
        <v>913.52</v>
      </c>
    </row>
    <row r="48" spans="1:19" x14ac:dyDescent="0.3">
      <c r="A48" s="69"/>
      <c r="B48" s="98"/>
      <c r="C48" s="98"/>
      <c r="D48" s="70"/>
      <c r="E48" s="94"/>
      <c r="F48" s="104"/>
      <c r="G48" s="104"/>
      <c r="H48" s="105"/>
      <c r="I48" s="94">
        <f>SUM(I45:I47)</f>
        <v>9549.14</v>
      </c>
      <c r="J48" s="70"/>
      <c r="K48" s="69">
        <f>SUM(K45:K47)</f>
        <v>9534.27</v>
      </c>
      <c r="L48" s="70"/>
      <c r="M48" s="4">
        <f>SUM(M45:M47)</f>
        <v>1235.49</v>
      </c>
    </row>
    <row r="49" spans="1:13" x14ac:dyDescent="0.3">
      <c r="A49" s="86" t="s">
        <v>70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68"/>
      <c r="M49" s="41">
        <v>1950.92</v>
      </c>
    </row>
    <row r="50" spans="1:13" x14ac:dyDescent="0.3">
      <c r="A50" s="91" t="s">
        <v>16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48">
        <v>1456.72</v>
      </c>
    </row>
    <row r="51" spans="1:13" x14ac:dyDescent="0.3">
      <c r="A51" s="99" t="s">
        <v>59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1"/>
      <c r="M51" s="38">
        <v>247.14</v>
      </c>
    </row>
    <row r="52" spans="1:13" x14ac:dyDescent="0.3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8"/>
    </row>
    <row r="53" spans="1:13" ht="15.6" x14ac:dyDescent="0.3">
      <c r="A53" s="91" t="s">
        <v>96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8">
        <f>M24+M41+M48+M49+M50+M51</f>
        <v>11790.009999999998</v>
      </c>
    </row>
    <row r="54" spans="1:13" x14ac:dyDescent="0.3">
      <c r="A54" s="91" t="s">
        <v>17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7">
        <f>K25+K42</f>
        <v>11288.850660000004</v>
      </c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60"/>
      <c r="B57" s="60"/>
      <c r="C57" s="60"/>
      <c r="D57" s="60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60"/>
      <c r="B58" s="60"/>
      <c r="C58" s="60"/>
      <c r="D58" s="60"/>
      <c r="K58" s="61"/>
      <c r="L58" s="61"/>
      <c r="M58" s="61"/>
    </row>
  </sheetData>
  <mergeCells count="227">
    <mergeCell ref="I23:J2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E23:F2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A23:B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I44:J44"/>
    <mergeCell ref="A52:M52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  <mergeCell ref="K12:L12"/>
    <mergeCell ref="A12:B12"/>
    <mergeCell ref="C12:D12"/>
    <mergeCell ref="E12:F12"/>
    <mergeCell ref="I11:J11"/>
    <mergeCell ref="K24:L24"/>
    <mergeCell ref="A26:M26"/>
    <mergeCell ref="A27:K27"/>
    <mergeCell ref="A53:L53"/>
    <mergeCell ref="A54:L54"/>
    <mergeCell ref="K45:L45"/>
    <mergeCell ref="A50:L50"/>
    <mergeCell ref="I46:J46"/>
    <mergeCell ref="I47:J47"/>
    <mergeCell ref="I48:J48"/>
    <mergeCell ref="A45:D45"/>
    <mergeCell ref="A46:D46"/>
    <mergeCell ref="A47:D47"/>
    <mergeCell ref="A48:D48"/>
    <mergeCell ref="A51:L51"/>
    <mergeCell ref="I45:J45"/>
    <mergeCell ref="A49:L49"/>
    <mergeCell ref="E47:H47"/>
    <mergeCell ref="E48:H48"/>
    <mergeCell ref="A4:G4"/>
    <mergeCell ref="H4:M4"/>
    <mergeCell ref="L10:M10"/>
    <mergeCell ref="A10:K10"/>
    <mergeCell ref="A7:D7"/>
    <mergeCell ref="E7:F7"/>
    <mergeCell ref="G7:K7"/>
    <mergeCell ref="A5:M5"/>
    <mergeCell ref="A1:M1"/>
    <mergeCell ref="A2:D2"/>
    <mergeCell ref="E2:I2"/>
    <mergeCell ref="J2:M2"/>
    <mergeCell ref="A3:B3"/>
    <mergeCell ref="C3:H3"/>
    <mergeCell ref="I3:M3"/>
    <mergeCell ref="L27:M27"/>
    <mergeCell ref="A28:B28"/>
    <mergeCell ref="C28:D28"/>
    <mergeCell ref="E28:F28"/>
    <mergeCell ref="G28:H28"/>
    <mergeCell ref="I28:J28"/>
    <mergeCell ref="K28:L28"/>
    <mergeCell ref="A24:B24"/>
    <mergeCell ref="C24:D24"/>
    <mergeCell ref="E24:F24"/>
    <mergeCell ref="G24:H24"/>
    <mergeCell ref="I24:J24"/>
    <mergeCell ref="A25:J25"/>
    <mergeCell ref="K25:L25"/>
    <mergeCell ref="A29:B29"/>
    <mergeCell ref="C29:D29"/>
    <mergeCell ref="E29:F29"/>
    <mergeCell ref="G29:H29"/>
    <mergeCell ref="I29:J29"/>
    <mergeCell ref="K29:L29"/>
    <mergeCell ref="A57:D57"/>
    <mergeCell ref="A58:D58"/>
    <mergeCell ref="K58:M58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E44:H44"/>
    <mergeCell ref="E45:H45"/>
    <mergeCell ref="E46:H46"/>
    <mergeCell ref="A39:B39"/>
    <mergeCell ref="A40:B4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E39:F39"/>
    <mergeCell ref="E40:F40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42:J42"/>
    <mergeCell ref="K42:L42"/>
    <mergeCell ref="I39:J39"/>
    <mergeCell ref="I40:J40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81"/>
  <sheetViews>
    <sheetView zoomScaleNormal="100" workbookViewId="0">
      <selection activeCell="F87" sqref="F87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0.8867187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18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25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71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97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9" t="s">
        <v>60</v>
      </c>
      <c r="C6" s="29"/>
      <c r="D6" s="30"/>
      <c r="E6" s="30"/>
      <c r="F6" s="29"/>
      <c r="G6" s="31"/>
      <c r="H6" s="31"/>
      <c r="I6" s="31"/>
      <c r="J6" s="32"/>
    </row>
    <row r="7" spans="2:10" x14ac:dyDescent="0.3">
      <c r="B7" s="18"/>
      <c r="C7" s="18"/>
      <c r="D7" s="18"/>
      <c r="E7" s="18"/>
      <c r="F7" s="18"/>
      <c r="G7" s="18"/>
      <c r="H7" s="19" t="s">
        <v>19</v>
      </c>
      <c r="I7" s="20">
        <f ca="1">TODAY()</f>
        <v>45379</v>
      </c>
    </row>
    <row r="8" spans="2:10" ht="12.75" customHeight="1" x14ac:dyDescent="0.3">
      <c r="B8" s="120" t="s">
        <v>20</v>
      </c>
      <c r="C8" s="113" t="s">
        <v>27</v>
      </c>
      <c r="D8" s="118" t="s">
        <v>21</v>
      </c>
      <c r="E8" s="115"/>
      <c r="F8" s="113" t="s">
        <v>22</v>
      </c>
      <c r="G8" s="113" t="s">
        <v>23</v>
      </c>
      <c r="H8" s="113" t="s">
        <v>24</v>
      </c>
      <c r="I8" s="115" t="s">
        <v>26</v>
      </c>
    </row>
    <row r="9" spans="2:10" ht="24" customHeight="1" x14ac:dyDescent="0.3">
      <c r="B9" s="121"/>
      <c r="C9" s="114"/>
      <c r="D9" s="119"/>
      <c r="E9" s="116"/>
      <c r="F9" s="122"/>
      <c r="G9" s="122"/>
      <c r="H9" s="114"/>
      <c r="I9" s="116"/>
    </row>
    <row r="10" spans="2:10" x14ac:dyDescent="0.3">
      <c r="B10" s="123" t="s">
        <v>98</v>
      </c>
      <c r="C10" s="124"/>
      <c r="D10" s="124"/>
      <c r="E10" s="124"/>
      <c r="F10" s="124"/>
      <c r="G10" s="124"/>
      <c r="H10" s="124"/>
      <c r="I10" s="125"/>
    </row>
    <row r="11" spans="2:10" ht="26.4" x14ac:dyDescent="0.3">
      <c r="B11" s="21">
        <v>1</v>
      </c>
      <c r="C11" s="22" t="s">
        <v>100</v>
      </c>
      <c r="D11" s="132" t="s">
        <v>30</v>
      </c>
      <c r="E11" s="133"/>
      <c r="F11" s="26" t="s">
        <v>28</v>
      </c>
      <c r="G11" s="27" t="s">
        <v>29</v>
      </c>
      <c r="H11" s="27">
        <v>435.89</v>
      </c>
      <c r="I11" s="28">
        <f>H11*2.7</f>
        <v>1176.903</v>
      </c>
    </row>
    <row r="12" spans="2:10" ht="26.4" x14ac:dyDescent="0.3">
      <c r="B12" s="21">
        <v>2</v>
      </c>
      <c r="C12" s="22" t="s">
        <v>100</v>
      </c>
      <c r="D12" s="132" t="s">
        <v>30</v>
      </c>
      <c r="E12" s="133"/>
      <c r="F12" s="26" t="s">
        <v>32</v>
      </c>
      <c r="G12" s="27" t="s">
        <v>31</v>
      </c>
      <c r="H12" s="27">
        <v>1</v>
      </c>
      <c r="I12" s="28">
        <f>(7856.69*1.9%)+(7284.46*1.6%)</f>
        <v>265.82846999999998</v>
      </c>
    </row>
    <row r="13" spans="2:10" ht="55.5" customHeight="1" x14ac:dyDescent="0.3">
      <c r="B13" s="21">
        <v>3</v>
      </c>
      <c r="C13" s="22" t="s">
        <v>100</v>
      </c>
      <c r="D13" s="132" t="s">
        <v>30</v>
      </c>
      <c r="E13" s="133"/>
      <c r="F13" s="49" t="s">
        <v>99</v>
      </c>
      <c r="G13" s="27" t="s">
        <v>31</v>
      </c>
      <c r="H13" s="27">
        <v>1</v>
      </c>
      <c r="I13" s="28">
        <f>435.89*0.05</f>
        <v>21.794499999999999</v>
      </c>
    </row>
    <row r="14" spans="2:10" x14ac:dyDescent="0.3">
      <c r="B14" s="126" t="s">
        <v>101</v>
      </c>
      <c r="C14" s="127"/>
      <c r="D14" s="127"/>
      <c r="E14" s="127"/>
      <c r="F14" s="127"/>
      <c r="G14" s="127"/>
      <c r="H14" s="128"/>
      <c r="I14" s="43">
        <f>SUM(I11:I13)</f>
        <v>1464.5259699999999</v>
      </c>
    </row>
    <row r="15" spans="2:10" x14ac:dyDescent="0.3">
      <c r="B15" s="123" t="s">
        <v>102</v>
      </c>
      <c r="C15" s="124"/>
      <c r="D15" s="124"/>
      <c r="E15" s="124"/>
      <c r="F15" s="124"/>
      <c r="G15" s="124"/>
      <c r="H15" s="124"/>
      <c r="I15" s="125"/>
    </row>
    <row r="16" spans="2:10" ht="26.4" x14ac:dyDescent="0.3">
      <c r="B16" s="21">
        <v>1</v>
      </c>
      <c r="C16" s="22" t="s">
        <v>103</v>
      </c>
      <c r="D16" s="132" t="s">
        <v>30</v>
      </c>
      <c r="E16" s="133"/>
      <c r="F16" s="26" t="s">
        <v>28</v>
      </c>
      <c r="G16" s="27" t="s">
        <v>29</v>
      </c>
      <c r="H16" s="27">
        <v>435.89</v>
      </c>
      <c r="I16" s="28">
        <f>H16*2.7</f>
        <v>1176.903</v>
      </c>
    </row>
    <row r="17" spans="2:18" ht="26.4" x14ac:dyDescent="0.3">
      <c r="B17" s="21">
        <v>2</v>
      </c>
      <c r="C17" s="22" t="s">
        <v>103</v>
      </c>
      <c r="D17" s="132" t="s">
        <v>30</v>
      </c>
      <c r="E17" s="133"/>
      <c r="F17" s="26" t="s">
        <v>32</v>
      </c>
      <c r="G17" s="27" t="s">
        <v>31</v>
      </c>
      <c r="H17" s="27">
        <v>1</v>
      </c>
      <c r="I17" s="28">
        <f>(7856.69*1.9%)+(9288.76*1.6%)</f>
        <v>297.89726999999999</v>
      </c>
    </row>
    <row r="18" spans="2:18" ht="26.4" x14ac:dyDescent="0.3">
      <c r="B18" s="21">
        <v>3</v>
      </c>
      <c r="C18" s="22" t="s">
        <v>103</v>
      </c>
      <c r="D18" s="132" t="s">
        <v>30</v>
      </c>
      <c r="E18" s="133"/>
      <c r="F18" s="26" t="s">
        <v>88</v>
      </c>
      <c r="G18" s="27" t="s">
        <v>87</v>
      </c>
      <c r="H18" s="27">
        <v>1</v>
      </c>
      <c r="I18" s="28">
        <v>3450</v>
      </c>
    </row>
    <row r="19" spans="2:18" ht="54.75" customHeight="1" x14ac:dyDescent="0.3">
      <c r="B19" s="21">
        <v>4</v>
      </c>
      <c r="C19" s="22" t="s">
        <v>103</v>
      </c>
      <c r="D19" s="132" t="s">
        <v>30</v>
      </c>
      <c r="E19" s="133"/>
      <c r="F19" s="49" t="s">
        <v>99</v>
      </c>
      <c r="G19" s="27" t="s">
        <v>31</v>
      </c>
      <c r="H19" s="27">
        <v>1</v>
      </c>
      <c r="I19" s="28">
        <f>435.89*0.05</f>
        <v>21.794499999999999</v>
      </c>
    </row>
    <row r="20" spans="2:18" x14ac:dyDescent="0.3">
      <c r="B20" s="126" t="s">
        <v>104</v>
      </c>
      <c r="C20" s="127"/>
      <c r="D20" s="127"/>
      <c r="E20" s="127"/>
      <c r="F20" s="127"/>
      <c r="G20" s="127"/>
      <c r="H20" s="128"/>
      <c r="I20" s="43">
        <f>SUM(I16:I19)</f>
        <v>4946.5947699999997</v>
      </c>
    </row>
    <row r="21" spans="2:18" x14ac:dyDescent="0.3">
      <c r="B21" s="123" t="s">
        <v>105</v>
      </c>
      <c r="C21" s="124"/>
      <c r="D21" s="124"/>
      <c r="E21" s="124"/>
      <c r="F21" s="124"/>
      <c r="G21" s="124"/>
      <c r="H21" s="124"/>
      <c r="I21" s="125"/>
    </row>
    <row r="22" spans="2:18" ht="26.4" x14ac:dyDescent="0.3">
      <c r="B22" s="21">
        <v>1</v>
      </c>
      <c r="C22" s="22" t="s">
        <v>106</v>
      </c>
      <c r="D22" s="132" t="s">
        <v>30</v>
      </c>
      <c r="E22" s="133"/>
      <c r="F22" s="26" t="s">
        <v>28</v>
      </c>
      <c r="G22" s="27" t="s">
        <v>29</v>
      </c>
      <c r="H22" s="27">
        <v>435.89</v>
      </c>
      <c r="I22" s="28">
        <f>H22*2.7</f>
        <v>1176.903</v>
      </c>
      <c r="R22" s="47"/>
    </row>
    <row r="23" spans="2:18" ht="26.4" x14ac:dyDescent="0.3">
      <c r="B23" s="21">
        <v>2</v>
      </c>
      <c r="C23" s="22" t="s">
        <v>106</v>
      </c>
      <c r="D23" s="132" t="s">
        <v>30</v>
      </c>
      <c r="E23" s="133"/>
      <c r="F23" s="26" t="s">
        <v>32</v>
      </c>
      <c r="G23" s="27" t="s">
        <v>31</v>
      </c>
      <c r="H23" s="27">
        <v>1</v>
      </c>
      <c r="I23" s="28">
        <f>(7856.69*1.9%)+(6660.04*1.6%)</f>
        <v>255.83775</v>
      </c>
    </row>
    <row r="24" spans="2:18" ht="52.5" customHeight="1" x14ac:dyDescent="0.3">
      <c r="B24" s="21">
        <v>5</v>
      </c>
      <c r="C24" s="22" t="s">
        <v>106</v>
      </c>
      <c r="D24" s="132" t="s">
        <v>30</v>
      </c>
      <c r="E24" s="133"/>
      <c r="F24" s="49" t="s">
        <v>99</v>
      </c>
      <c r="G24" s="27" t="s">
        <v>31</v>
      </c>
      <c r="H24" s="27">
        <v>1</v>
      </c>
      <c r="I24" s="28">
        <f>435.89*0.05</f>
        <v>21.794499999999999</v>
      </c>
    </row>
    <row r="25" spans="2:18" x14ac:dyDescent="0.3">
      <c r="B25" s="126" t="s">
        <v>107</v>
      </c>
      <c r="C25" s="127"/>
      <c r="D25" s="127"/>
      <c r="E25" s="127"/>
      <c r="F25" s="127"/>
      <c r="G25" s="127"/>
      <c r="H25" s="128"/>
      <c r="I25" s="43">
        <f>SUM(I22:I24)</f>
        <v>1454.5352499999999</v>
      </c>
    </row>
    <row r="26" spans="2:18" x14ac:dyDescent="0.3">
      <c r="B26" s="123" t="s">
        <v>108</v>
      </c>
      <c r="C26" s="124"/>
      <c r="D26" s="124"/>
      <c r="E26" s="124"/>
      <c r="F26" s="124"/>
      <c r="G26" s="124"/>
      <c r="H26" s="124"/>
      <c r="I26" s="125"/>
    </row>
    <row r="27" spans="2:18" ht="26.4" x14ac:dyDescent="0.3">
      <c r="B27" s="21">
        <v>1</v>
      </c>
      <c r="C27" s="22" t="s">
        <v>110</v>
      </c>
      <c r="D27" s="132" t="s">
        <v>30</v>
      </c>
      <c r="E27" s="133"/>
      <c r="F27" s="26" t="s">
        <v>28</v>
      </c>
      <c r="G27" s="27" t="s">
        <v>29</v>
      </c>
      <c r="H27" s="27">
        <v>435.89</v>
      </c>
      <c r="I27" s="28">
        <f>H27*2.7</f>
        <v>1176.903</v>
      </c>
    </row>
    <row r="28" spans="2:18" ht="39.6" x14ac:dyDescent="0.3">
      <c r="B28" s="21">
        <v>2</v>
      </c>
      <c r="C28" s="22" t="s">
        <v>110</v>
      </c>
      <c r="D28" s="132" t="s">
        <v>30</v>
      </c>
      <c r="E28" s="133"/>
      <c r="F28" s="26" t="s">
        <v>109</v>
      </c>
      <c r="G28" s="27" t="s">
        <v>87</v>
      </c>
      <c r="H28" s="27">
        <v>1</v>
      </c>
      <c r="I28" s="28">
        <v>3323</v>
      </c>
    </row>
    <row r="29" spans="2:18" ht="26.4" x14ac:dyDescent="0.3">
      <c r="B29" s="21">
        <v>3</v>
      </c>
      <c r="C29" s="22" t="s">
        <v>110</v>
      </c>
      <c r="D29" s="132" t="s">
        <v>30</v>
      </c>
      <c r="E29" s="133"/>
      <c r="F29" s="26" t="s">
        <v>32</v>
      </c>
      <c r="G29" s="27" t="s">
        <v>31</v>
      </c>
      <c r="H29" s="27">
        <v>1</v>
      </c>
      <c r="I29" s="28">
        <f>(7856.69*1.9%)+(10270.08*1.6%)</f>
        <v>313.59838999999999</v>
      </c>
    </row>
    <row r="30" spans="2:18" ht="51.75" customHeight="1" x14ac:dyDescent="0.3">
      <c r="B30" s="21">
        <v>4</v>
      </c>
      <c r="C30" s="22" t="s">
        <v>110</v>
      </c>
      <c r="D30" s="132" t="s">
        <v>30</v>
      </c>
      <c r="E30" s="133"/>
      <c r="F30" s="49" t="s">
        <v>99</v>
      </c>
      <c r="G30" s="27" t="s">
        <v>31</v>
      </c>
      <c r="H30" s="27">
        <v>1</v>
      </c>
      <c r="I30" s="28">
        <f>435.89*0.05</f>
        <v>21.794499999999999</v>
      </c>
      <c r="P30" s="47"/>
    </row>
    <row r="31" spans="2:18" x14ac:dyDescent="0.3">
      <c r="B31" s="126" t="s">
        <v>111</v>
      </c>
      <c r="C31" s="127"/>
      <c r="D31" s="127"/>
      <c r="E31" s="127"/>
      <c r="F31" s="127"/>
      <c r="G31" s="127"/>
      <c r="H31" s="128"/>
      <c r="I31" s="43">
        <f>SUM(I27:I30)</f>
        <v>4835.2958900000003</v>
      </c>
    </row>
    <row r="32" spans="2:18" x14ac:dyDescent="0.3">
      <c r="B32" s="123" t="s">
        <v>112</v>
      </c>
      <c r="C32" s="124"/>
      <c r="D32" s="124"/>
      <c r="E32" s="124"/>
      <c r="F32" s="124"/>
      <c r="G32" s="124"/>
      <c r="H32" s="124"/>
      <c r="I32" s="125"/>
    </row>
    <row r="33" spans="2:9" ht="26.4" x14ac:dyDescent="0.3">
      <c r="B33" s="21">
        <v>1</v>
      </c>
      <c r="C33" s="22" t="s">
        <v>114</v>
      </c>
      <c r="D33" s="132" t="s">
        <v>30</v>
      </c>
      <c r="E33" s="133"/>
      <c r="F33" s="26" t="s">
        <v>28</v>
      </c>
      <c r="G33" s="27" t="s">
        <v>29</v>
      </c>
      <c r="H33" s="27">
        <v>435.89</v>
      </c>
      <c r="I33" s="28">
        <f>H33*2.7</f>
        <v>1176.903</v>
      </c>
    </row>
    <row r="34" spans="2:9" ht="26.4" x14ac:dyDescent="0.3">
      <c r="B34" s="21">
        <v>2</v>
      </c>
      <c r="C34" s="22" t="s">
        <v>114</v>
      </c>
      <c r="D34" s="132" t="s">
        <v>30</v>
      </c>
      <c r="E34" s="133"/>
      <c r="F34" s="26" t="s">
        <v>32</v>
      </c>
      <c r="G34" s="27" t="s">
        <v>31</v>
      </c>
      <c r="H34" s="27">
        <v>1</v>
      </c>
      <c r="I34" s="28">
        <f>(7856.69*1.9%)+(7856.43*1.6%)</f>
        <v>274.97998999999999</v>
      </c>
    </row>
    <row r="35" spans="2:9" ht="36.75" customHeight="1" x14ac:dyDescent="0.3">
      <c r="B35" s="21">
        <v>3</v>
      </c>
      <c r="C35" s="22" t="s">
        <v>114</v>
      </c>
      <c r="D35" s="132" t="s">
        <v>30</v>
      </c>
      <c r="E35" s="133"/>
      <c r="F35" s="26" t="s">
        <v>113</v>
      </c>
      <c r="G35" s="27" t="s">
        <v>87</v>
      </c>
      <c r="H35" s="27">
        <v>1</v>
      </c>
      <c r="I35" s="28">
        <v>11126</v>
      </c>
    </row>
    <row r="36" spans="2:9" ht="52.5" customHeight="1" x14ac:dyDescent="0.3">
      <c r="B36" s="21">
        <v>4</v>
      </c>
      <c r="C36" s="22" t="s">
        <v>114</v>
      </c>
      <c r="D36" s="132" t="s">
        <v>30</v>
      </c>
      <c r="E36" s="133"/>
      <c r="F36" s="49" t="s">
        <v>99</v>
      </c>
      <c r="G36" s="27" t="s">
        <v>31</v>
      </c>
      <c r="H36" s="27">
        <v>1</v>
      </c>
      <c r="I36" s="28">
        <f>435.89*0.05</f>
        <v>21.794499999999999</v>
      </c>
    </row>
    <row r="37" spans="2:9" x14ac:dyDescent="0.3">
      <c r="B37" s="126" t="s">
        <v>115</v>
      </c>
      <c r="C37" s="127"/>
      <c r="D37" s="127"/>
      <c r="E37" s="127"/>
      <c r="F37" s="127"/>
      <c r="G37" s="127"/>
      <c r="H37" s="128"/>
      <c r="I37" s="43">
        <f>SUM(I33:I36)</f>
        <v>12599.67749</v>
      </c>
    </row>
    <row r="38" spans="2:9" x14ac:dyDescent="0.3">
      <c r="B38" s="123" t="s">
        <v>116</v>
      </c>
      <c r="C38" s="124"/>
      <c r="D38" s="124"/>
      <c r="E38" s="124"/>
      <c r="F38" s="124"/>
      <c r="G38" s="124"/>
      <c r="H38" s="124"/>
      <c r="I38" s="125"/>
    </row>
    <row r="39" spans="2:9" ht="26.4" x14ac:dyDescent="0.3">
      <c r="B39" s="21">
        <v>1</v>
      </c>
      <c r="C39" s="22" t="s">
        <v>117</v>
      </c>
      <c r="D39" s="132" t="s">
        <v>30</v>
      </c>
      <c r="E39" s="133"/>
      <c r="F39" s="26" t="s">
        <v>28</v>
      </c>
      <c r="G39" s="27" t="s">
        <v>29</v>
      </c>
      <c r="H39" s="27">
        <v>435.89</v>
      </c>
      <c r="I39" s="28">
        <f>H39*2.7</f>
        <v>1176.903</v>
      </c>
    </row>
    <row r="40" spans="2:9" ht="26.4" x14ac:dyDescent="0.3">
      <c r="B40" s="21">
        <v>2</v>
      </c>
      <c r="C40" s="22" t="s">
        <v>117</v>
      </c>
      <c r="D40" s="132" t="s">
        <v>30</v>
      </c>
      <c r="E40" s="133"/>
      <c r="F40" s="26" t="s">
        <v>32</v>
      </c>
      <c r="G40" s="27" t="s">
        <v>31</v>
      </c>
      <c r="H40" s="27">
        <v>1</v>
      </c>
      <c r="I40" s="28">
        <f>(7856.69*1.9%)+(5764.95*1.6%)</f>
        <v>241.51630999999998</v>
      </c>
    </row>
    <row r="41" spans="2:9" ht="51" customHeight="1" x14ac:dyDescent="0.3">
      <c r="B41" s="21">
        <v>3</v>
      </c>
      <c r="C41" s="22" t="s">
        <v>117</v>
      </c>
      <c r="D41" s="132" t="s">
        <v>30</v>
      </c>
      <c r="E41" s="133"/>
      <c r="F41" s="49" t="s">
        <v>99</v>
      </c>
      <c r="G41" s="27" t="s">
        <v>31</v>
      </c>
      <c r="H41" s="27">
        <v>1</v>
      </c>
      <c r="I41" s="28">
        <f>435.89*0.05</f>
        <v>21.794499999999999</v>
      </c>
    </row>
    <row r="42" spans="2:9" x14ac:dyDescent="0.3">
      <c r="B42" s="126" t="s">
        <v>118</v>
      </c>
      <c r="C42" s="127"/>
      <c r="D42" s="127"/>
      <c r="E42" s="127"/>
      <c r="F42" s="127"/>
      <c r="G42" s="127"/>
      <c r="H42" s="128"/>
      <c r="I42" s="43">
        <f>SUM(I39:I41)</f>
        <v>1440.21381</v>
      </c>
    </row>
    <row r="43" spans="2:9" x14ac:dyDescent="0.3">
      <c r="B43" s="123" t="s">
        <v>119</v>
      </c>
      <c r="C43" s="124"/>
      <c r="D43" s="124"/>
      <c r="E43" s="124"/>
      <c r="F43" s="124"/>
      <c r="G43" s="124"/>
      <c r="H43" s="124"/>
      <c r="I43" s="125"/>
    </row>
    <row r="44" spans="2:9" ht="26.4" x14ac:dyDescent="0.3">
      <c r="B44" s="21">
        <v>1</v>
      </c>
      <c r="C44" s="22" t="s">
        <v>120</v>
      </c>
      <c r="D44" s="132" t="s">
        <v>30</v>
      </c>
      <c r="E44" s="133"/>
      <c r="F44" s="26" t="s">
        <v>28</v>
      </c>
      <c r="G44" s="27" t="s">
        <v>29</v>
      </c>
      <c r="H44" s="27">
        <v>435.89</v>
      </c>
      <c r="I44" s="28">
        <f>H44*2.7</f>
        <v>1176.903</v>
      </c>
    </row>
    <row r="45" spans="2:9" ht="26.4" x14ac:dyDescent="0.3">
      <c r="B45" s="21">
        <v>2</v>
      </c>
      <c r="C45" s="22" t="s">
        <v>120</v>
      </c>
      <c r="D45" s="132" t="s">
        <v>30</v>
      </c>
      <c r="E45" s="133"/>
      <c r="F45" s="26" t="s">
        <v>32</v>
      </c>
      <c r="G45" s="27" t="s">
        <v>31</v>
      </c>
      <c r="H45" s="27">
        <v>1</v>
      </c>
      <c r="I45" s="28">
        <f>(7856.69*1.9%)+(15075.2*1.6%)</f>
        <v>390.48031000000003</v>
      </c>
    </row>
    <row r="46" spans="2:9" ht="51" customHeight="1" x14ac:dyDescent="0.3">
      <c r="B46" s="21">
        <v>3</v>
      </c>
      <c r="C46" s="22" t="s">
        <v>120</v>
      </c>
      <c r="D46" s="132" t="s">
        <v>30</v>
      </c>
      <c r="E46" s="133"/>
      <c r="F46" s="49" t="s">
        <v>99</v>
      </c>
      <c r="G46" s="27" t="s">
        <v>31</v>
      </c>
      <c r="H46" s="27">
        <v>1</v>
      </c>
      <c r="I46" s="28">
        <f>435.89*0.05</f>
        <v>21.794499999999999</v>
      </c>
    </row>
    <row r="47" spans="2:9" x14ac:dyDescent="0.3">
      <c r="B47" s="126" t="s">
        <v>124</v>
      </c>
      <c r="C47" s="127"/>
      <c r="D47" s="127"/>
      <c r="E47" s="127"/>
      <c r="F47" s="127"/>
      <c r="G47" s="127"/>
      <c r="H47" s="128"/>
      <c r="I47" s="43">
        <f>SUM(I44:I46)</f>
        <v>1589.1778100000001</v>
      </c>
    </row>
    <row r="48" spans="2:9" x14ac:dyDescent="0.3">
      <c r="B48" s="123" t="s">
        <v>125</v>
      </c>
      <c r="C48" s="124"/>
      <c r="D48" s="124"/>
      <c r="E48" s="124"/>
      <c r="F48" s="124"/>
      <c r="G48" s="124"/>
      <c r="H48" s="124"/>
      <c r="I48" s="125"/>
    </row>
    <row r="49" spans="2:9" ht="26.4" x14ac:dyDescent="0.3">
      <c r="B49" s="21">
        <v>1</v>
      </c>
      <c r="C49" s="22" t="s">
        <v>126</v>
      </c>
      <c r="D49" s="132" t="s">
        <v>30</v>
      </c>
      <c r="E49" s="133"/>
      <c r="F49" s="26" t="s">
        <v>28</v>
      </c>
      <c r="G49" s="27" t="s">
        <v>29</v>
      </c>
      <c r="H49" s="27">
        <v>435.89</v>
      </c>
      <c r="I49" s="28">
        <f>H49*2.7</f>
        <v>1176.903</v>
      </c>
    </row>
    <row r="50" spans="2:9" ht="26.4" x14ac:dyDescent="0.3">
      <c r="B50" s="21">
        <v>2</v>
      </c>
      <c r="C50" s="22" t="s">
        <v>126</v>
      </c>
      <c r="D50" s="132" t="s">
        <v>30</v>
      </c>
      <c r="E50" s="133"/>
      <c r="F50" s="26" t="s">
        <v>32</v>
      </c>
      <c r="G50" s="27" t="s">
        <v>31</v>
      </c>
      <c r="H50" s="27">
        <v>1</v>
      </c>
      <c r="I50" s="28">
        <f>(7856.69*1.9%)+(3966.27*1.6%)</f>
        <v>212.73742999999999</v>
      </c>
    </row>
    <row r="51" spans="2:9" ht="51.75" customHeight="1" x14ac:dyDescent="0.3">
      <c r="B51" s="21">
        <v>3</v>
      </c>
      <c r="C51" s="22" t="s">
        <v>126</v>
      </c>
      <c r="D51" s="132" t="s">
        <v>30</v>
      </c>
      <c r="E51" s="133"/>
      <c r="F51" s="49" t="s">
        <v>99</v>
      </c>
      <c r="G51" s="27" t="s">
        <v>31</v>
      </c>
      <c r="H51" s="27">
        <v>1</v>
      </c>
      <c r="I51" s="28">
        <f>435.89*0.05</f>
        <v>21.794499999999999</v>
      </c>
    </row>
    <row r="52" spans="2:9" x14ac:dyDescent="0.3">
      <c r="B52" s="126" t="s">
        <v>127</v>
      </c>
      <c r="C52" s="127"/>
      <c r="D52" s="127"/>
      <c r="E52" s="127"/>
      <c r="F52" s="127"/>
      <c r="G52" s="127"/>
      <c r="H52" s="128"/>
      <c r="I52" s="43">
        <f>SUM(I49:I51)</f>
        <v>1411.4349299999999</v>
      </c>
    </row>
    <row r="53" spans="2:9" x14ac:dyDescent="0.3">
      <c r="B53" s="123" t="s">
        <v>128</v>
      </c>
      <c r="C53" s="124"/>
      <c r="D53" s="124"/>
      <c r="E53" s="124"/>
      <c r="F53" s="124"/>
      <c r="G53" s="124"/>
      <c r="H53" s="124"/>
      <c r="I53" s="125"/>
    </row>
    <row r="54" spans="2:9" ht="26.4" x14ac:dyDescent="0.3">
      <c r="B54" s="21">
        <v>1</v>
      </c>
      <c r="C54" s="22" t="s">
        <v>129</v>
      </c>
      <c r="D54" s="132" t="s">
        <v>30</v>
      </c>
      <c r="E54" s="133"/>
      <c r="F54" s="26" t="s">
        <v>28</v>
      </c>
      <c r="G54" s="27" t="s">
        <v>29</v>
      </c>
      <c r="H54" s="27">
        <v>435.89</v>
      </c>
      <c r="I54" s="28">
        <f>H54*2.7</f>
        <v>1176.903</v>
      </c>
    </row>
    <row r="55" spans="2:9" ht="26.4" x14ac:dyDescent="0.3">
      <c r="B55" s="21">
        <v>2</v>
      </c>
      <c r="C55" s="22" t="s">
        <v>129</v>
      </c>
      <c r="D55" s="132" t="s">
        <v>30</v>
      </c>
      <c r="E55" s="133"/>
      <c r="F55" s="26" t="s">
        <v>32</v>
      </c>
      <c r="G55" s="27" t="s">
        <v>31</v>
      </c>
      <c r="H55" s="27">
        <v>1</v>
      </c>
      <c r="I55" s="28">
        <f>(7856.69*1.9%)+(6620.38*1.6%)</f>
        <v>255.20319000000001</v>
      </c>
    </row>
    <row r="56" spans="2:9" ht="57" customHeight="1" x14ac:dyDescent="0.3">
      <c r="B56" s="21">
        <v>3</v>
      </c>
      <c r="C56" s="22" t="s">
        <v>129</v>
      </c>
      <c r="D56" s="132" t="s">
        <v>30</v>
      </c>
      <c r="E56" s="133"/>
      <c r="F56" s="49" t="s">
        <v>99</v>
      </c>
      <c r="G56" s="27" t="s">
        <v>31</v>
      </c>
      <c r="H56" s="27">
        <v>1</v>
      </c>
      <c r="I56" s="28">
        <f>435.89*0.05</f>
        <v>21.794499999999999</v>
      </c>
    </row>
    <row r="57" spans="2:9" x14ac:dyDescent="0.3">
      <c r="B57" s="126" t="s">
        <v>130</v>
      </c>
      <c r="C57" s="127"/>
      <c r="D57" s="127"/>
      <c r="E57" s="127"/>
      <c r="F57" s="127"/>
      <c r="G57" s="127"/>
      <c r="H57" s="128"/>
      <c r="I57" s="43">
        <f>SUM(I54:I56)</f>
        <v>1453.9006899999999</v>
      </c>
    </row>
    <row r="58" spans="2:9" x14ac:dyDescent="0.3">
      <c r="B58" s="123" t="s">
        <v>131</v>
      </c>
      <c r="C58" s="124"/>
      <c r="D58" s="124"/>
      <c r="E58" s="124"/>
      <c r="F58" s="124"/>
      <c r="G58" s="124"/>
      <c r="H58" s="124"/>
      <c r="I58" s="125"/>
    </row>
    <row r="59" spans="2:9" ht="26.4" x14ac:dyDescent="0.3">
      <c r="B59" s="21">
        <v>1</v>
      </c>
      <c r="C59" s="22" t="s">
        <v>135</v>
      </c>
      <c r="D59" s="132" t="s">
        <v>30</v>
      </c>
      <c r="E59" s="133"/>
      <c r="F59" s="26" t="s">
        <v>28</v>
      </c>
      <c r="G59" s="27" t="s">
        <v>29</v>
      </c>
      <c r="H59" s="27">
        <v>435.89</v>
      </c>
      <c r="I59" s="28">
        <f>H59*2.7</f>
        <v>1176.903</v>
      </c>
    </row>
    <row r="60" spans="2:9" ht="26.4" x14ac:dyDescent="0.3">
      <c r="B60" s="21">
        <v>2</v>
      </c>
      <c r="C60" s="22" t="s">
        <v>135</v>
      </c>
      <c r="D60" s="132" t="s">
        <v>30</v>
      </c>
      <c r="E60" s="133"/>
      <c r="F60" s="26" t="s">
        <v>32</v>
      </c>
      <c r="G60" s="27" t="s">
        <v>31</v>
      </c>
      <c r="H60" s="27">
        <v>1</v>
      </c>
      <c r="I60" s="28">
        <f>(7856.69*1.9%)+(10876.3*1.6%)</f>
        <v>323.29791</v>
      </c>
    </row>
    <row r="61" spans="2:9" x14ac:dyDescent="0.3">
      <c r="B61" s="21">
        <v>3</v>
      </c>
      <c r="C61" s="22" t="s">
        <v>135</v>
      </c>
      <c r="D61" s="132" t="s">
        <v>30</v>
      </c>
      <c r="E61" s="133"/>
      <c r="F61" s="26" t="s">
        <v>132</v>
      </c>
      <c r="G61" s="27" t="s">
        <v>87</v>
      </c>
      <c r="H61" s="27">
        <v>1</v>
      </c>
      <c r="I61" s="28">
        <v>1834</v>
      </c>
    </row>
    <row r="62" spans="2:9" ht="26.4" x14ac:dyDescent="0.3">
      <c r="B62" s="21">
        <v>4</v>
      </c>
      <c r="C62" s="22" t="s">
        <v>135</v>
      </c>
      <c r="D62" s="132" t="s">
        <v>30</v>
      </c>
      <c r="E62" s="133"/>
      <c r="F62" s="26" t="s">
        <v>88</v>
      </c>
      <c r="G62" s="27" t="s">
        <v>87</v>
      </c>
      <c r="H62" s="27">
        <v>1</v>
      </c>
      <c r="I62" s="28">
        <v>4190</v>
      </c>
    </row>
    <row r="63" spans="2:9" ht="51" customHeight="1" x14ac:dyDescent="0.3">
      <c r="B63" s="21">
        <v>5</v>
      </c>
      <c r="C63" s="22" t="s">
        <v>135</v>
      </c>
      <c r="D63" s="132" t="s">
        <v>30</v>
      </c>
      <c r="E63" s="133"/>
      <c r="F63" s="49" t="s">
        <v>99</v>
      </c>
      <c r="G63" s="27" t="s">
        <v>31</v>
      </c>
      <c r="H63" s="27">
        <v>1</v>
      </c>
      <c r="I63" s="28">
        <f>435.89*0.05</f>
        <v>21.794499999999999</v>
      </c>
    </row>
    <row r="64" spans="2:9" x14ac:dyDescent="0.3">
      <c r="B64" s="126" t="s">
        <v>133</v>
      </c>
      <c r="C64" s="127"/>
      <c r="D64" s="127"/>
      <c r="E64" s="127"/>
      <c r="F64" s="127"/>
      <c r="G64" s="127"/>
      <c r="H64" s="128"/>
      <c r="I64" s="43">
        <f>SUM(I59:I63)</f>
        <v>7545.9954099999995</v>
      </c>
    </row>
    <row r="65" spans="2:9" x14ac:dyDescent="0.3">
      <c r="B65" s="123" t="s">
        <v>134</v>
      </c>
      <c r="C65" s="124"/>
      <c r="D65" s="124"/>
      <c r="E65" s="124"/>
      <c r="F65" s="124"/>
      <c r="G65" s="124"/>
      <c r="H65" s="124"/>
      <c r="I65" s="125"/>
    </row>
    <row r="66" spans="2:9" ht="26.4" x14ac:dyDescent="0.3">
      <c r="B66" s="21">
        <v>1</v>
      </c>
      <c r="C66" s="22" t="s">
        <v>136</v>
      </c>
      <c r="D66" s="132" t="s">
        <v>30</v>
      </c>
      <c r="E66" s="133"/>
      <c r="F66" s="26" t="s">
        <v>28</v>
      </c>
      <c r="G66" s="27" t="s">
        <v>29</v>
      </c>
      <c r="H66" s="27">
        <v>435.89</v>
      </c>
      <c r="I66" s="28">
        <f>H66*2.7</f>
        <v>1176.903</v>
      </c>
    </row>
    <row r="67" spans="2:9" ht="26.4" x14ac:dyDescent="0.3">
      <c r="B67" s="21">
        <v>2</v>
      </c>
      <c r="C67" s="22" t="s">
        <v>136</v>
      </c>
      <c r="D67" s="132" t="s">
        <v>30</v>
      </c>
      <c r="E67" s="133"/>
      <c r="F67" s="26" t="s">
        <v>32</v>
      </c>
      <c r="G67" s="27" t="s">
        <v>31</v>
      </c>
      <c r="H67" s="27">
        <v>1</v>
      </c>
      <c r="I67" s="28">
        <f>(8001.24*1.9%)+(5782.75*1.6%)</f>
        <v>244.54756</v>
      </c>
    </row>
    <row r="68" spans="2:9" ht="56.25" customHeight="1" x14ac:dyDescent="0.3">
      <c r="B68" s="21">
        <v>3</v>
      </c>
      <c r="C68" s="22" t="s">
        <v>136</v>
      </c>
      <c r="D68" s="132" t="s">
        <v>30</v>
      </c>
      <c r="E68" s="133"/>
      <c r="F68" s="49" t="s">
        <v>99</v>
      </c>
      <c r="G68" s="27" t="s">
        <v>31</v>
      </c>
      <c r="H68" s="27">
        <v>1</v>
      </c>
      <c r="I68" s="28">
        <f>435.89*0.05</f>
        <v>21.794499999999999</v>
      </c>
    </row>
    <row r="69" spans="2:9" x14ac:dyDescent="0.3">
      <c r="B69" s="126" t="s">
        <v>137</v>
      </c>
      <c r="C69" s="127"/>
      <c r="D69" s="127"/>
      <c r="E69" s="127"/>
      <c r="F69" s="127"/>
      <c r="G69" s="127"/>
      <c r="H69" s="128"/>
      <c r="I69" s="43">
        <f>SUM(I66:I68)</f>
        <v>1443.24506</v>
      </c>
    </row>
    <row r="70" spans="2:9" x14ac:dyDescent="0.3">
      <c r="B70" s="123" t="s">
        <v>138</v>
      </c>
      <c r="C70" s="124"/>
      <c r="D70" s="124"/>
      <c r="E70" s="124"/>
      <c r="F70" s="124"/>
      <c r="G70" s="124"/>
      <c r="H70" s="124"/>
      <c r="I70" s="125"/>
    </row>
    <row r="71" spans="2:9" ht="26.4" x14ac:dyDescent="0.3">
      <c r="B71" s="21">
        <v>1</v>
      </c>
      <c r="C71" s="22" t="s">
        <v>139</v>
      </c>
      <c r="D71" s="132" t="s">
        <v>30</v>
      </c>
      <c r="E71" s="133"/>
      <c r="F71" s="26" t="s">
        <v>28</v>
      </c>
      <c r="G71" s="27" t="s">
        <v>29</v>
      </c>
      <c r="H71" s="27">
        <v>435.89</v>
      </c>
      <c r="I71" s="28">
        <f>H71*2.7</f>
        <v>1176.903</v>
      </c>
    </row>
    <row r="72" spans="2:9" ht="26.4" x14ac:dyDescent="0.3">
      <c r="B72" s="21">
        <v>2</v>
      </c>
      <c r="C72" s="22" t="s">
        <v>139</v>
      </c>
      <c r="D72" s="132" t="s">
        <v>30</v>
      </c>
      <c r="E72" s="133"/>
      <c r="F72" s="26" t="s">
        <v>32</v>
      </c>
      <c r="G72" s="27" t="s">
        <v>31</v>
      </c>
      <c r="H72" s="27">
        <v>1</v>
      </c>
      <c r="I72" s="28">
        <f>(7875.48*1.9%)+(5803.79*1.6%)</f>
        <v>242.49475999999999</v>
      </c>
    </row>
    <row r="73" spans="2:9" x14ac:dyDescent="0.3">
      <c r="B73" s="21">
        <v>3</v>
      </c>
      <c r="C73" s="22" t="s">
        <v>139</v>
      </c>
      <c r="D73" s="132" t="s">
        <v>30</v>
      </c>
      <c r="E73" s="133"/>
      <c r="F73" s="26" t="s">
        <v>89</v>
      </c>
      <c r="G73" s="27" t="s">
        <v>87</v>
      </c>
      <c r="H73" s="27">
        <v>1</v>
      </c>
      <c r="I73" s="28">
        <v>2400</v>
      </c>
    </row>
    <row r="74" spans="2:9" ht="54" customHeight="1" x14ac:dyDescent="0.3">
      <c r="B74" s="21">
        <v>4</v>
      </c>
      <c r="C74" s="22" t="s">
        <v>139</v>
      </c>
      <c r="D74" s="132" t="s">
        <v>30</v>
      </c>
      <c r="E74" s="133"/>
      <c r="F74" s="49" t="s">
        <v>99</v>
      </c>
      <c r="G74" s="27" t="s">
        <v>31</v>
      </c>
      <c r="H74" s="27">
        <v>1</v>
      </c>
      <c r="I74" s="28">
        <f>435.89*0.05</f>
        <v>21.794499999999999</v>
      </c>
    </row>
    <row r="75" spans="2:9" x14ac:dyDescent="0.3">
      <c r="B75" s="126" t="s">
        <v>140</v>
      </c>
      <c r="C75" s="127"/>
      <c r="D75" s="127"/>
      <c r="E75" s="127"/>
      <c r="F75" s="127"/>
      <c r="G75" s="127"/>
      <c r="H75" s="128"/>
      <c r="I75" s="43">
        <f>SUM(I71:I74)</f>
        <v>3841.1922599999998</v>
      </c>
    </row>
    <row r="76" spans="2:9" ht="15.6" x14ac:dyDescent="0.3">
      <c r="B76" s="129" t="s">
        <v>141</v>
      </c>
      <c r="C76" s="130"/>
      <c r="D76" s="130"/>
      <c r="E76" s="130"/>
      <c r="F76" s="130"/>
      <c r="G76" s="130"/>
      <c r="H76" s="131"/>
      <c r="I76" s="33">
        <f>I14+I20+I25+I31+I37+I42+I47+I52+I57+I64+I69+I75</f>
        <v>44025.789340000003</v>
      </c>
    </row>
    <row r="77" spans="2:9" x14ac:dyDescent="0.3">
      <c r="B77" s="23"/>
      <c r="C77" s="23"/>
      <c r="D77" s="24"/>
      <c r="E77" s="24"/>
      <c r="F77" s="24"/>
      <c r="G77" s="24"/>
      <c r="H77" s="24"/>
      <c r="I77" s="25"/>
    </row>
    <row r="78" spans="2:9" x14ac:dyDescent="0.3">
      <c r="B78" s="16"/>
      <c r="C78" s="16"/>
      <c r="D78" s="16"/>
      <c r="E78" s="16"/>
      <c r="F78" s="16"/>
      <c r="G78" s="16"/>
      <c r="H78" s="16"/>
      <c r="I78" s="16"/>
    </row>
    <row r="79" spans="2:9" ht="29.25" customHeight="1" x14ac:dyDescent="0.3">
      <c r="B79" s="117"/>
      <c r="C79" s="117"/>
      <c r="D79" s="117"/>
      <c r="E79" s="117"/>
      <c r="F79" s="117"/>
      <c r="G79" s="117"/>
      <c r="H79" s="117"/>
      <c r="I79" s="117"/>
    </row>
    <row r="80" spans="2:9" ht="14.4" x14ac:dyDescent="0.3">
      <c r="B80" s="60"/>
      <c r="C80" s="60"/>
      <c r="D80" s="60"/>
      <c r="E80" s="60"/>
    </row>
    <row r="81" spans="2:9" ht="14.4" x14ac:dyDescent="0.3">
      <c r="B81" s="61"/>
      <c r="C81" s="61"/>
      <c r="D81" s="61"/>
      <c r="E81" s="61"/>
      <c r="G81" s="61"/>
      <c r="H81" s="61"/>
      <c r="I81" s="61"/>
    </row>
  </sheetData>
  <mergeCells count="78">
    <mergeCell ref="D72:E72"/>
    <mergeCell ref="D73:E73"/>
    <mergeCell ref="D74:E74"/>
    <mergeCell ref="B75:H75"/>
    <mergeCell ref="D68:E68"/>
    <mergeCell ref="B69:H69"/>
    <mergeCell ref="B70:I70"/>
    <mergeCell ref="D71:E71"/>
    <mergeCell ref="B65:I65"/>
    <mergeCell ref="D66:E66"/>
    <mergeCell ref="D67:E67"/>
    <mergeCell ref="D59:E59"/>
    <mergeCell ref="D60:E60"/>
    <mergeCell ref="D63:E63"/>
    <mergeCell ref="B64:H64"/>
    <mergeCell ref="D61:E61"/>
    <mergeCell ref="D62:E62"/>
    <mergeCell ref="D55:E55"/>
    <mergeCell ref="D56:E56"/>
    <mergeCell ref="B57:H57"/>
    <mergeCell ref="B58:I58"/>
    <mergeCell ref="D51:E51"/>
    <mergeCell ref="B52:H52"/>
    <mergeCell ref="B53:I53"/>
    <mergeCell ref="D54:E54"/>
    <mergeCell ref="D46:E46"/>
    <mergeCell ref="B47:H47"/>
    <mergeCell ref="B48:I48"/>
    <mergeCell ref="D49:E49"/>
    <mergeCell ref="D50:E50"/>
    <mergeCell ref="B42:H42"/>
    <mergeCell ref="B43:I43"/>
    <mergeCell ref="D44:E44"/>
    <mergeCell ref="D45:E45"/>
    <mergeCell ref="D39:E39"/>
    <mergeCell ref="D40:E40"/>
    <mergeCell ref="D41:E41"/>
    <mergeCell ref="D35:E35"/>
    <mergeCell ref="D36:E36"/>
    <mergeCell ref="B37:H37"/>
    <mergeCell ref="B38:I38"/>
    <mergeCell ref="D30:E30"/>
    <mergeCell ref="B31:H31"/>
    <mergeCell ref="B32:I32"/>
    <mergeCell ref="D33:E33"/>
    <mergeCell ref="D34:E34"/>
    <mergeCell ref="B26:I26"/>
    <mergeCell ref="D27:E27"/>
    <mergeCell ref="D29:E29"/>
    <mergeCell ref="D24:E24"/>
    <mergeCell ref="B25:H25"/>
    <mergeCell ref="D28:E28"/>
    <mergeCell ref="B20:H20"/>
    <mergeCell ref="D18:E18"/>
    <mergeCell ref="B21:I21"/>
    <mergeCell ref="D22:E22"/>
    <mergeCell ref="D23:E23"/>
    <mergeCell ref="B15:I15"/>
    <mergeCell ref="D16:E16"/>
    <mergeCell ref="D17:E17"/>
    <mergeCell ref="D19:E19"/>
    <mergeCell ref="D12:E12"/>
    <mergeCell ref="B80:E80"/>
    <mergeCell ref="B81:E81"/>
    <mergeCell ref="G81:I81"/>
    <mergeCell ref="H8:H9"/>
    <mergeCell ref="I8:I9"/>
    <mergeCell ref="B79:I79"/>
    <mergeCell ref="D8:E9"/>
    <mergeCell ref="B8:B9"/>
    <mergeCell ref="C8:C9"/>
    <mergeCell ref="F8:F9"/>
    <mergeCell ref="G8:G9"/>
    <mergeCell ref="B10:I10"/>
    <mergeCell ref="B14:H14"/>
    <mergeCell ref="B76:H76"/>
    <mergeCell ref="D13:E13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2"/>
  <sheetViews>
    <sheetView zoomScaleNormal="100" workbookViewId="0">
      <selection activeCell="G19" sqref="G19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0.8867187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18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33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71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97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9" t="s">
        <v>60</v>
      </c>
      <c r="C6" s="29"/>
      <c r="D6" s="30"/>
      <c r="E6" s="30"/>
      <c r="F6" s="29"/>
      <c r="G6" s="31"/>
      <c r="H6" s="31"/>
      <c r="I6" s="31"/>
      <c r="J6" s="32"/>
    </row>
    <row r="7" spans="2:10" x14ac:dyDescent="0.3">
      <c r="B7" s="18"/>
      <c r="C7" s="18"/>
      <c r="D7" s="18"/>
      <c r="E7" s="18"/>
      <c r="F7" s="18"/>
      <c r="G7" s="18"/>
      <c r="H7" s="19" t="s">
        <v>19</v>
      </c>
      <c r="I7" s="20">
        <f ca="1">TODAY()</f>
        <v>45379</v>
      </c>
    </row>
    <row r="8" spans="2:10" ht="12.75" customHeight="1" x14ac:dyDescent="0.3">
      <c r="B8" s="120" t="s">
        <v>20</v>
      </c>
      <c r="C8" s="113" t="s">
        <v>27</v>
      </c>
      <c r="D8" s="118" t="s">
        <v>21</v>
      </c>
      <c r="E8" s="115"/>
      <c r="F8" s="113" t="s">
        <v>22</v>
      </c>
      <c r="G8" s="113" t="s">
        <v>23</v>
      </c>
      <c r="H8" s="113" t="s">
        <v>24</v>
      </c>
      <c r="I8" s="115" t="s">
        <v>26</v>
      </c>
    </row>
    <row r="9" spans="2:10" ht="24" customHeight="1" x14ac:dyDescent="0.3">
      <c r="B9" s="121"/>
      <c r="C9" s="114"/>
      <c r="D9" s="119"/>
      <c r="E9" s="116"/>
      <c r="F9" s="122"/>
      <c r="G9" s="122"/>
      <c r="H9" s="114"/>
      <c r="I9" s="116"/>
    </row>
    <row r="10" spans="2:10" x14ac:dyDescent="0.3">
      <c r="B10" s="123" t="s">
        <v>119</v>
      </c>
      <c r="C10" s="124"/>
      <c r="D10" s="124"/>
      <c r="E10" s="124"/>
      <c r="F10" s="124"/>
      <c r="G10" s="124"/>
      <c r="H10" s="124"/>
      <c r="I10" s="125"/>
    </row>
    <row r="11" spans="2:10" ht="43.5" customHeight="1" x14ac:dyDescent="0.3">
      <c r="B11" s="21">
        <v>1</v>
      </c>
      <c r="C11" s="22" t="s">
        <v>120</v>
      </c>
      <c r="D11" s="132" t="s">
        <v>30</v>
      </c>
      <c r="E11" s="133"/>
      <c r="F11" s="26" t="s">
        <v>121</v>
      </c>
      <c r="G11" s="27" t="s">
        <v>87</v>
      </c>
      <c r="H11" s="27">
        <v>1</v>
      </c>
      <c r="I11" s="28">
        <v>1633</v>
      </c>
    </row>
    <row r="12" spans="2:10" ht="17.25" customHeight="1" x14ac:dyDescent="0.3">
      <c r="B12" s="21">
        <v>2</v>
      </c>
      <c r="C12" s="22" t="s">
        <v>120</v>
      </c>
      <c r="D12" s="132" t="s">
        <v>30</v>
      </c>
      <c r="E12" s="133"/>
      <c r="F12" s="26" t="s">
        <v>122</v>
      </c>
      <c r="G12" s="27" t="s">
        <v>87</v>
      </c>
      <c r="H12" s="27">
        <v>1</v>
      </c>
      <c r="I12" s="28">
        <v>2659</v>
      </c>
    </row>
    <row r="13" spans="2:10" ht="45" customHeight="1" x14ac:dyDescent="0.3">
      <c r="B13" s="21">
        <v>3</v>
      </c>
      <c r="C13" s="22" t="s">
        <v>120</v>
      </c>
      <c r="D13" s="132" t="s">
        <v>30</v>
      </c>
      <c r="E13" s="133"/>
      <c r="F13" s="26" t="s">
        <v>123</v>
      </c>
      <c r="G13" s="27" t="s">
        <v>87</v>
      </c>
      <c r="H13" s="27">
        <v>1</v>
      </c>
      <c r="I13" s="28">
        <v>3562</v>
      </c>
    </row>
    <row r="14" spans="2:10" x14ac:dyDescent="0.3">
      <c r="B14" s="126" t="s">
        <v>124</v>
      </c>
      <c r="C14" s="127"/>
      <c r="D14" s="127"/>
      <c r="E14" s="127"/>
      <c r="F14" s="127"/>
      <c r="G14" s="127"/>
      <c r="H14" s="128"/>
      <c r="I14" s="43">
        <f>SUM(I11:I11)</f>
        <v>1633</v>
      </c>
    </row>
    <row r="15" spans="2:10" ht="15.6" x14ac:dyDescent="0.3">
      <c r="B15" s="129" t="s">
        <v>141</v>
      </c>
      <c r="C15" s="130"/>
      <c r="D15" s="130"/>
      <c r="E15" s="130"/>
      <c r="F15" s="130"/>
      <c r="G15" s="130"/>
      <c r="H15" s="131"/>
      <c r="I15" s="33">
        <f>I14</f>
        <v>1633</v>
      </c>
    </row>
    <row r="16" spans="2:10" x14ac:dyDescent="0.3">
      <c r="B16" s="44"/>
      <c r="C16" s="44"/>
      <c r="D16" s="44"/>
      <c r="E16" s="44"/>
      <c r="F16" s="44"/>
      <c r="G16" s="44"/>
      <c r="H16" s="44"/>
      <c r="I16" s="45"/>
    </row>
    <row r="17" spans="2:9" x14ac:dyDescent="0.3">
      <c r="B17" s="44"/>
      <c r="C17" s="44"/>
      <c r="D17" s="44"/>
      <c r="E17" s="44"/>
      <c r="F17" s="44"/>
      <c r="G17" s="44"/>
      <c r="H17" s="44"/>
      <c r="I17" s="45"/>
    </row>
    <row r="18" spans="2:9" x14ac:dyDescent="0.3">
      <c r="B18" s="44"/>
      <c r="C18" s="44"/>
      <c r="D18" s="44"/>
      <c r="E18" s="44"/>
      <c r="F18" s="44"/>
      <c r="G18" s="44"/>
      <c r="H18" s="44"/>
      <c r="I18" s="45"/>
    </row>
    <row r="19" spans="2:9" x14ac:dyDescent="0.3">
      <c r="B19" s="16"/>
      <c r="C19" s="16"/>
      <c r="D19" s="16"/>
      <c r="E19" s="16"/>
      <c r="F19" s="16"/>
      <c r="G19" s="16"/>
      <c r="H19" s="16"/>
      <c r="I19" s="16"/>
    </row>
    <row r="20" spans="2:9" ht="29.25" customHeight="1" x14ac:dyDescent="0.3">
      <c r="B20" s="117"/>
      <c r="C20" s="117"/>
      <c r="D20" s="117"/>
      <c r="E20" s="117"/>
      <c r="F20" s="117"/>
      <c r="G20" s="117"/>
      <c r="H20" s="117"/>
      <c r="I20" s="117"/>
    </row>
    <row r="21" spans="2:9" ht="14.4" x14ac:dyDescent="0.3">
      <c r="B21" s="60"/>
      <c r="C21" s="60"/>
      <c r="D21" s="60"/>
      <c r="E21" s="60"/>
    </row>
    <row r="22" spans="2:9" ht="14.4" x14ac:dyDescent="0.3">
      <c r="B22" s="61"/>
      <c r="C22" s="61"/>
      <c r="D22" s="61"/>
      <c r="E22" s="61"/>
      <c r="G22" s="61"/>
      <c r="H22" s="61"/>
      <c r="I22" s="61"/>
    </row>
  </sheetData>
  <mergeCells count="17">
    <mergeCell ref="B21:E21"/>
    <mergeCell ref="B22:E22"/>
    <mergeCell ref="G22:I22"/>
    <mergeCell ref="B15:H15"/>
    <mergeCell ref="H8:H9"/>
    <mergeCell ref="I8:I9"/>
    <mergeCell ref="B20:I20"/>
    <mergeCell ref="B10:I10"/>
    <mergeCell ref="B8:B9"/>
    <mergeCell ref="C8:C9"/>
    <mergeCell ref="D8:E9"/>
    <mergeCell ref="F8:F9"/>
    <mergeCell ref="G8:G9"/>
    <mergeCell ref="D11:E11"/>
    <mergeCell ref="B14:H14"/>
    <mergeCell ref="D12:E12"/>
    <mergeCell ref="D13:E1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2"/>
  <sheetViews>
    <sheetView showRuler="0" zoomScaleNormal="100" workbookViewId="0">
      <selection activeCell="A37" sqref="A37:M45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50" t="s">
        <v>34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x14ac:dyDescent="0.3">
      <c r="A2" s="150" t="s">
        <v>72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">
      <c r="A3" s="151" t="s">
        <v>142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 x14ac:dyDescent="0.3">
      <c r="A4" s="99" t="s">
        <v>63</v>
      </c>
      <c r="B4" s="100"/>
      <c r="C4" s="100"/>
      <c r="D4" s="101"/>
      <c r="E4" s="99" t="s">
        <v>64</v>
      </c>
      <c r="F4" s="100"/>
      <c r="G4" s="100"/>
      <c r="H4" s="100"/>
      <c r="I4" s="101"/>
      <c r="J4" s="99" t="s">
        <v>61</v>
      </c>
      <c r="K4" s="100"/>
      <c r="L4" s="100"/>
      <c r="M4" s="101"/>
    </row>
    <row r="5" spans="1:13" x14ac:dyDescent="0.3">
      <c r="A5" s="99" t="s">
        <v>65</v>
      </c>
      <c r="B5" s="101"/>
      <c r="C5" s="99" t="s">
        <v>66</v>
      </c>
      <c r="D5" s="100"/>
      <c r="E5" s="100"/>
      <c r="F5" s="100"/>
      <c r="G5" s="100"/>
      <c r="H5" s="101"/>
      <c r="I5" s="99" t="s">
        <v>67</v>
      </c>
      <c r="J5" s="100"/>
      <c r="K5" s="100"/>
      <c r="L5" s="100"/>
      <c r="M5" s="101"/>
    </row>
    <row r="6" spans="1:13" x14ac:dyDescent="0.3">
      <c r="A6" s="91" t="s">
        <v>68</v>
      </c>
      <c r="B6" s="91"/>
      <c r="C6" s="91"/>
      <c r="D6" s="91"/>
      <c r="E6" s="91"/>
      <c r="F6" s="91"/>
      <c r="G6" s="91"/>
      <c r="H6" s="91" t="s">
        <v>57</v>
      </c>
      <c r="I6" s="91"/>
      <c r="J6" s="91"/>
      <c r="K6" s="91"/>
      <c r="L6" s="91"/>
      <c r="M6" s="91"/>
    </row>
    <row r="7" spans="1:13" x14ac:dyDescent="0.3">
      <c r="A7" s="91" t="s">
        <v>73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ht="38.25" customHeight="1" x14ac:dyDescent="0.3">
      <c r="A8" s="155" t="s">
        <v>35</v>
      </c>
      <c r="B8" s="155"/>
      <c r="C8" s="155"/>
      <c r="D8" s="155"/>
      <c r="E8" s="156" t="s">
        <v>36</v>
      </c>
      <c r="F8" s="156"/>
      <c r="G8" s="152" t="s">
        <v>37</v>
      </c>
      <c r="H8" s="153"/>
      <c r="I8" s="154"/>
      <c r="J8" s="152" t="s">
        <v>38</v>
      </c>
      <c r="K8" s="153"/>
      <c r="L8" s="154"/>
      <c r="M8" s="36" t="s">
        <v>39</v>
      </c>
    </row>
    <row r="9" spans="1:13" x14ac:dyDescent="0.3">
      <c r="A9" s="134" t="s">
        <v>40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6"/>
    </row>
    <row r="10" spans="1:13" x14ac:dyDescent="0.3">
      <c r="A10" s="137" t="s">
        <v>41</v>
      </c>
      <c r="B10" s="138"/>
      <c r="C10" s="138"/>
      <c r="D10" s="139"/>
      <c r="E10" s="140">
        <v>3721.33</v>
      </c>
      <c r="F10" s="141"/>
      <c r="G10" s="140">
        <v>27774.959999999999</v>
      </c>
      <c r="H10" s="142"/>
      <c r="I10" s="141"/>
      <c r="J10" s="140">
        <v>28043.27</v>
      </c>
      <c r="K10" s="142"/>
      <c r="L10" s="141"/>
      <c r="M10" s="40">
        <v>3453.12</v>
      </c>
    </row>
    <row r="11" spans="1:13" ht="14.25" customHeight="1" x14ac:dyDescent="0.3">
      <c r="A11" s="144" t="s">
        <v>42</v>
      </c>
      <c r="B11" s="145"/>
      <c r="C11" s="145"/>
      <c r="D11" s="146"/>
      <c r="E11" s="143">
        <v>3714.32</v>
      </c>
      <c r="F11" s="143"/>
      <c r="G11" s="143">
        <v>27722.76</v>
      </c>
      <c r="H11" s="143"/>
      <c r="I11" s="143"/>
      <c r="J11" s="143">
        <v>27990.77</v>
      </c>
      <c r="K11" s="143"/>
      <c r="L11" s="143"/>
      <c r="M11" s="40">
        <v>3446.62</v>
      </c>
    </row>
    <row r="12" spans="1:13" ht="21" customHeight="1" x14ac:dyDescent="0.3">
      <c r="A12" s="99" t="s">
        <v>43</v>
      </c>
      <c r="B12" s="100"/>
      <c r="C12" s="100"/>
      <c r="D12" s="101"/>
      <c r="E12" s="147">
        <f>SUM(E10:E11)</f>
        <v>7435.65</v>
      </c>
      <c r="F12" s="148"/>
      <c r="G12" s="147">
        <f>SUM(G10:G11)</f>
        <v>55497.72</v>
      </c>
      <c r="H12" s="149"/>
      <c r="I12" s="148"/>
      <c r="J12" s="99">
        <f>SUM(J10:J11)</f>
        <v>56034.04</v>
      </c>
      <c r="K12" s="100"/>
      <c r="L12" s="101"/>
      <c r="M12" s="39">
        <f>SUM(M10:M11)</f>
        <v>6899.74</v>
      </c>
    </row>
    <row r="13" spans="1:13" x14ac:dyDescent="0.3">
      <c r="A13" s="91" t="s">
        <v>16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50">
        <v>1456.72</v>
      </c>
    </row>
    <row r="14" spans="1:13" x14ac:dyDescent="0.3">
      <c r="A14" s="99" t="s">
        <v>74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1"/>
      <c r="M14" s="39">
        <v>1950.92</v>
      </c>
    </row>
    <row r="15" spans="1:13" x14ac:dyDescent="0.3">
      <c r="A15" s="99" t="s">
        <v>59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1"/>
      <c r="M15" s="38">
        <v>247.14</v>
      </c>
    </row>
    <row r="16" spans="1:13" x14ac:dyDescent="0.3">
      <c r="A16" s="134" t="s">
        <v>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6"/>
    </row>
    <row r="17" spans="1:13" x14ac:dyDescent="0.3">
      <c r="A17" s="187" t="s">
        <v>13</v>
      </c>
      <c r="B17" s="188"/>
      <c r="C17" s="188"/>
      <c r="D17" s="189"/>
      <c r="E17" s="140">
        <v>174.92</v>
      </c>
      <c r="F17" s="141"/>
      <c r="G17" s="140">
        <v>1573.7</v>
      </c>
      <c r="H17" s="142"/>
      <c r="I17" s="141"/>
      <c r="J17" s="164">
        <v>1504.67</v>
      </c>
      <c r="K17" s="165"/>
      <c r="L17" s="166"/>
      <c r="M17" s="40">
        <f>E17+G17-J17</f>
        <v>243.95000000000005</v>
      </c>
    </row>
    <row r="18" spans="1:13" ht="14.25" customHeight="1" x14ac:dyDescent="0.3">
      <c r="A18" s="99" t="s">
        <v>14</v>
      </c>
      <c r="B18" s="100"/>
      <c r="C18" s="100"/>
      <c r="D18" s="101"/>
      <c r="E18" s="143">
        <v>78.260000000000005</v>
      </c>
      <c r="F18" s="143"/>
      <c r="G18" s="143">
        <v>627.6</v>
      </c>
      <c r="H18" s="143"/>
      <c r="I18" s="143"/>
      <c r="J18" s="91">
        <v>627.85</v>
      </c>
      <c r="K18" s="91"/>
      <c r="L18" s="91"/>
      <c r="M18" s="39">
        <v>78.02</v>
      </c>
    </row>
    <row r="19" spans="1:13" x14ac:dyDescent="0.3">
      <c r="A19" s="99" t="s">
        <v>15</v>
      </c>
      <c r="B19" s="100"/>
      <c r="C19" s="100"/>
      <c r="D19" s="101"/>
      <c r="E19" s="143">
        <v>967.35</v>
      </c>
      <c r="F19" s="143"/>
      <c r="G19" s="99">
        <v>7347.84</v>
      </c>
      <c r="H19" s="100"/>
      <c r="I19" s="101"/>
      <c r="J19" s="99">
        <v>7401.75</v>
      </c>
      <c r="K19" s="100"/>
      <c r="L19" s="101"/>
      <c r="M19" s="7">
        <v>913.52</v>
      </c>
    </row>
    <row r="20" spans="1:13" ht="27.75" customHeight="1" x14ac:dyDescent="0.3">
      <c r="A20" s="144" t="s">
        <v>45</v>
      </c>
      <c r="B20" s="145"/>
      <c r="C20" s="145"/>
      <c r="D20" s="146"/>
      <c r="E20" s="143">
        <f>SUM(E17:E19)</f>
        <v>1220.53</v>
      </c>
      <c r="F20" s="143"/>
      <c r="G20" s="147">
        <f>SUM(G17:G19)</f>
        <v>9549.14</v>
      </c>
      <c r="H20" s="149"/>
      <c r="I20" s="148"/>
      <c r="J20" s="99">
        <f>SUM(J17:J19)</f>
        <v>9534.27</v>
      </c>
      <c r="K20" s="100"/>
      <c r="L20" s="101"/>
      <c r="M20" s="7">
        <f>SUM(M17:M19)</f>
        <v>1235.49</v>
      </c>
    </row>
    <row r="21" spans="1:13" ht="18.75" customHeight="1" x14ac:dyDescent="0.3">
      <c r="A21" s="144" t="s">
        <v>9</v>
      </c>
      <c r="B21" s="145"/>
      <c r="C21" s="145"/>
      <c r="D21" s="145"/>
      <c r="E21" s="143"/>
      <c r="F21" s="143"/>
      <c r="G21" s="143"/>
      <c r="H21" s="143"/>
      <c r="I21" s="143"/>
      <c r="J21" s="91"/>
      <c r="K21" s="91"/>
      <c r="L21" s="91"/>
      <c r="M21" s="7">
        <f>M12+M13+M14+M15+M20</f>
        <v>11790.009999999998</v>
      </c>
    </row>
    <row r="22" spans="1:13" ht="17.25" customHeight="1" x14ac:dyDescent="0.3">
      <c r="A22" s="184" t="s">
        <v>46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6"/>
    </row>
    <row r="23" spans="1:13" x14ac:dyDescent="0.3">
      <c r="A23" s="6" t="s">
        <v>20</v>
      </c>
      <c r="B23" s="155" t="s">
        <v>47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62" t="s">
        <v>48</v>
      </c>
      <c r="M23" s="162"/>
    </row>
    <row r="24" spans="1:13" x14ac:dyDescent="0.3">
      <c r="A24" s="34">
        <v>1</v>
      </c>
      <c r="B24" s="163" t="s">
        <v>28</v>
      </c>
      <c r="C24" s="163"/>
      <c r="D24" s="163"/>
      <c r="E24" s="163"/>
      <c r="F24" s="163"/>
      <c r="G24" s="163"/>
      <c r="H24" s="163"/>
      <c r="I24" s="163"/>
      <c r="J24" s="163"/>
      <c r="K24" s="163"/>
      <c r="L24" s="99">
        <f>1176.9*12</f>
        <v>14122.800000000001</v>
      </c>
      <c r="M24" s="101"/>
    </row>
    <row r="25" spans="1:13" ht="15.75" customHeight="1" x14ac:dyDescent="0.3">
      <c r="A25" s="34">
        <v>2</v>
      </c>
      <c r="B25" s="163" t="s">
        <v>32</v>
      </c>
      <c r="C25" s="163"/>
      <c r="D25" s="163"/>
      <c r="E25" s="163"/>
      <c r="F25" s="163"/>
      <c r="G25" s="163"/>
      <c r="H25" s="163"/>
      <c r="I25" s="163"/>
      <c r="J25" s="163"/>
      <c r="K25" s="163"/>
      <c r="L25" s="99">
        <v>3063.22</v>
      </c>
      <c r="M25" s="101"/>
    </row>
    <row r="26" spans="1:13" ht="15.75" customHeight="1" x14ac:dyDescent="0.3">
      <c r="A26" s="34">
        <v>3</v>
      </c>
      <c r="B26" s="181" t="s">
        <v>143</v>
      </c>
      <c r="C26" s="182"/>
      <c r="D26" s="182"/>
      <c r="E26" s="182"/>
      <c r="F26" s="182"/>
      <c r="G26" s="182"/>
      <c r="H26" s="182"/>
      <c r="I26" s="182"/>
      <c r="J26" s="182"/>
      <c r="K26" s="183"/>
      <c r="L26" s="147">
        <v>26316.49</v>
      </c>
      <c r="M26" s="148"/>
    </row>
    <row r="27" spans="1:13" ht="15.75" customHeight="1" x14ac:dyDescent="0.3">
      <c r="A27" s="34">
        <v>4</v>
      </c>
      <c r="B27" s="181" t="s">
        <v>144</v>
      </c>
      <c r="C27" s="182"/>
      <c r="D27" s="182"/>
      <c r="E27" s="182"/>
      <c r="F27" s="182"/>
      <c r="G27" s="182"/>
      <c r="H27" s="182"/>
      <c r="I27" s="182"/>
      <c r="J27" s="182"/>
      <c r="K27" s="183"/>
      <c r="L27" s="147">
        <f>'РЕМОНТ ЖИЛЬЯ'!I15</f>
        <v>1633</v>
      </c>
      <c r="M27" s="148"/>
    </row>
    <row r="28" spans="1:13" x14ac:dyDescent="0.3">
      <c r="A28" s="34">
        <v>5</v>
      </c>
      <c r="B28" s="163" t="s">
        <v>99</v>
      </c>
      <c r="C28" s="163"/>
      <c r="D28" s="163"/>
      <c r="E28" s="163"/>
      <c r="F28" s="163"/>
      <c r="G28" s="163"/>
      <c r="H28" s="163"/>
      <c r="I28" s="163"/>
      <c r="J28" s="163"/>
      <c r="K28" s="163"/>
      <c r="L28" s="91">
        <f>43.59*12</f>
        <v>523.08000000000004</v>
      </c>
      <c r="M28" s="91"/>
    </row>
    <row r="29" spans="1:13" x14ac:dyDescent="0.3">
      <c r="A29" s="170" t="s">
        <v>49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2"/>
      <c r="L29" s="157">
        <f>SUM(L24:L28)</f>
        <v>45658.590000000004</v>
      </c>
      <c r="M29" s="158"/>
    </row>
    <row r="30" spans="1:13" x14ac:dyDescent="0.3">
      <c r="A30" s="173"/>
      <c r="B30" s="174"/>
      <c r="C30" s="174"/>
      <c r="D30" s="174"/>
      <c r="E30" s="174"/>
      <c r="F30" s="174"/>
      <c r="G30" s="174"/>
      <c r="H30" s="174"/>
      <c r="I30" s="174"/>
      <c r="J30" s="174"/>
      <c r="K30" s="175"/>
      <c r="L30" s="159"/>
      <c r="M30" s="159"/>
    </row>
    <row r="31" spans="1:13" x14ac:dyDescent="0.3">
      <c r="A31" s="167" t="s">
        <v>50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160">
        <v>913.4</v>
      </c>
      <c r="M31" s="161"/>
    </row>
    <row r="32" spans="1:13" x14ac:dyDescent="0.3">
      <c r="A32" s="167" t="s">
        <v>54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9"/>
      <c r="L32" s="160">
        <f>M21</f>
        <v>11790.009999999998</v>
      </c>
      <c r="M32" s="161"/>
    </row>
    <row r="33" spans="1:13" x14ac:dyDescent="0.3">
      <c r="A33" s="167" t="s">
        <v>51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9"/>
      <c r="L33" s="160">
        <f>J12</f>
        <v>56034.04</v>
      </c>
      <c r="M33" s="177"/>
    </row>
    <row r="34" spans="1:13" x14ac:dyDescent="0.3">
      <c r="A34" s="167" t="s">
        <v>52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60">
        <f>L29</f>
        <v>45658.590000000004</v>
      </c>
      <c r="M34" s="161"/>
    </row>
    <row r="35" spans="1:13" x14ac:dyDescent="0.3">
      <c r="A35" s="167" t="s">
        <v>53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9"/>
      <c r="L35" s="160">
        <f>L31+L33-L34</f>
        <v>11288.849999999999</v>
      </c>
      <c r="M35" s="177"/>
    </row>
    <row r="36" spans="1:13" x14ac:dyDescent="0.3">
      <c r="A36" s="35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</row>
    <row r="37" spans="1:13" x14ac:dyDescent="0.3">
      <c r="A37" s="37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79"/>
      <c r="M37" s="179"/>
    </row>
    <row r="38" spans="1:13" x14ac:dyDescent="0.3">
      <c r="A38" s="37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</row>
    <row r="39" spans="1:13" x14ac:dyDescent="0.3">
      <c r="A39" s="37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</row>
    <row r="40" spans="1:13" x14ac:dyDescent="0.3">
      <c r="A40" s="1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"/>
      <c r="M40" s="1"/>
    </row>
    <row r="41" spans="1:13" x14ac:dyDescent="0.3">
      <c r="A41" s="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91">
    <mergeCell ref="B27:K27"/>
    <mergeCell ref="L27:M27"/>
    <mergeCell ref="L26:M26"/>
    <mergeCell ref="B26:K26"/>
    <mergeCell ref="A14:L14"/>
    <mergeCell ref="E19:F19"/>
    <mergeCell ref="E18:F18"/>
    <mergeCell ref="G20:I20"/>
    <mergeCell ref="J20:L20"/>
    <mergeCell ref="B25:K25"/>
    <mergeCell ref="L24:M24"/>
    <mergeCell ref="L25:M25"/>
    <mergeCell ref="A20:D20"/>
    <mergeCell ref="A22:M22"/>
    <mergeCell ref="A17:D17"/>
    <mergeCell ref="E17:F17"/>
    <mergeCell ref="B40:K40"/>
    <mergeCell ref="B41:K41"/>
    <mergeCell ref="L41:M41"/>
    <mergeCell ref="A32:K32"/>
    <mergeCell ref="L32:M32"/>
    <mergeCell ref="L34:M34"/>
    <mergeCell ref="L35:M35"/>
    <mergeCell ref="L36:M36"/>
    <mergeCell ref="L37:M37"/>
    <mergeCell ref="L38:M38"/>
    <mergeCell ref="L39:M39"/>
    <mergeCell ref="L33:M33"/>
    <mergeCell ref="B36:K36"/>
    <mergeCell ref="B37:K37"/>
    <mergeCell ref="B38:K38"/>
    <mergeCell ref="B39:K39"/>
    <mergeCell ref="A35:K35"/>
    <mergeCell ref="A29:K29"/>
    <mergeCell ref="A30:K30"/>
    <mergeCell ref="A31:K31"/>
    <mergeCell ref="A33:K33"/>
    <mergeCell ref="A34:K34"/>
    <mergeCell ref="G17:I17"/>
    <mergeCell ref="J17:L17"/>
    <mergeCell ref="E21:F21"/>
    <mergeCell ref="G21:I21"/>
    <mergeCell ref="J21:L21"/>
    <mergeCell ref="L29:M29"/>
    <mergeCell ref="L30:M30"/>
    <mergeCell ref="L31:M31"/>
    <mergeCell ref="A18:D18"/>
    <mergeCell ref="G18:I18"/>
    <mergeCell ref="J18:L18"/>
    <mergeCell ref="A19:D19"/>
    <mergeCell ref="G19:I19"/>
    <mergeCell ref="J19:L19"/>
    <mergeCell ref="L28:M28"/>
    <mergeCell ref="E20:F20"/>
    <mergeCell ref="B23:K23"/>
    <mergeCell ref="L23:M23"/>
    <mergeCell ref="B24:K24"/>
    <mergeCell ref="A21:D21"/>
    <mergeCell ref="B28:K28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A9:M9"/>
    <mergeCell ref="A10:D10"/>
    <mergeCell ref="E10:F10"/>
    <mergeCell ref="J12:L12"/>
    <mergeCell ref="A16:M16"/>
    <mergeCell ref="A13:L13"/>
    <mergeCell ref="G10:I10"/>
    <mergeCell ref="G11:I11"/>
    <mergeCell ref="J11:L11"/>
    <mergeCell ref="J10:L10"/>
    <mergeCell ref="A11:D11"/>
    <mergeCell ref="E11:F11"/>
    <mergeCell ref="A12:D12"/>
    <mergeCell ref="E12:F12"/>
    <mergeCell ref="G12:I12"/>
    <mergeCell ref="A15:L15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ТРАНСПОРТНАЯ 58</vt:lpstr>
      <vt:lpstr>СОДЕРЖАНИЕ ЖИЛЬЯ</vt:lpstr>
      <vt:lpstr>РЕМОНТ ЖИЛЬЯ</vt:lpstr>
      <vt:lpstr>ОТЧЕТ ТРАНСпорт 58 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2024-03-28T15:34:15Z</dcterms:modified>
</cp:coreProperties>
</file>