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ул. Транспортная, д 58\"/>
    </mc:Choice>
  </mc:AlternateContent>
  <xr:revisionPtr revIDLastSave="0" documentId="13_ncr:1_{A3568C24-CB1E-4213-BABB-2379989126BA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ТРАНСПОРТНАЯ 58" sheetId="1" r:id="rId1"/>
    <sheet name="СОДЕРЖАНИЕ ЖИЛЬЯ" sheetId="2" r:id="rId2"/>
    <sheet name="РЕМОНТ ЖИЛЬЯ" sheetId="3" r:id="rId3"/>
    <sheet name="ОТЧЕТ ТРАНСпорт 58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4" l="1"/>
  <c r="L24" i="4"/>
  <c r="M19" i="4" l="1"/>
  <c r="M17" i="4"/>
  <c r="M18" i="4"/>
  <c r="G41" i="1"/>
  <c r="M10" i="4"/>
  <c r="K30" i="1" l="1"/>
  <c r="K32" i="1"/>
  <c r="K33" i="1"/>
  <c r="K34" i="1"/>
  <c r="K35" i="1"/>
  <c r="K37" i="1"/>
  <c r="K38" i="1"/>
  <c r="K40" i="1"/>
  <c r="I76" i="2"/>
  <c r="I18" i="3"/>
  <c r="I39" i="1" s="1"/>
  <c r="K39" i="1" s="1"/>
  <c r="I79" i="2"/>
  <c r="I75" i="2"/>
  <c r="I80" i="2" s="1"/>
  <c r="I23" i="1" s="1"/>
  <c r="K23" i="1" s="1"/>
  <c r="I71" i="2"/>
  <c r="I72" i="2"/>
  <c r="I70" i="2"/>
  <c r="I73" i="2" s="1"/>
  <c r="I22" i="1" s="1"/>
  <c r="K22" i="1" s="1"/>
  <c r="I64" i="2"/>
  <c r="I67" i="2"/>
  <c r="I63" i="2"/>
  <c r="I58" i="2"/>
  <c r="I60" i="2"/>
  <c r="I57" i="2"/>
  <c r="I15" i="3"/>
  <c r="I36" i="1" s="1"/>
  <c r="K36" i="1" s="1"/>
  <c r="I53" i="2"/>
  <c r="I54" i="2"/>
  <c r="I52" i="2"/>
  <c r="I48" i="2"/>
  <c r="I49" i="2"/>
  <c r="I47" i="2"/>
  <c r="I42" i="2"/>
  <c r="I35" i="2"/>
  <c r="I30" i="2"/>
  <c r="I44" i="2"/>
  <c r="I41" i="2"/>
  <c r="I12" i="3"/>
  <c r="I19" i="3" s="1"/>
  <c r="I38" i="2"/>
  <c r="I34" i="2"/>
  <c r="I31" i="2"/>
  <c r="I29" i="2"/>
  <c r="I23" i="2"/>
  <c r="I26" i="2"/>
  <c r="I22" i="2"/>
  <c r="I17" i="2"/>
  <c r="I19" i="2"/>
  <c r="I16" i="2"/>
  <c r="I12" i="2"/>
  <c r="I31" i="1" l="1"/>
  <c r="I55" i="2"/>
  <c r="I19" i="1" s="1"/>
  <c r="K19" i="1" s="1"/>
  <c r="I61" i="2"/>
  <c r="I20" i="1" s="1"/>
  <c r="K20" i="1" s="1"/>
  <c r="I68" i="2"/>
  <c r="I21" i="1" s="1"/>
  <c r="K21" i="1" s="1"/>
  <c r="I50" i="2"/>
  <c r="I18" i="1" s="1"/>
  <c r="K18" i="1" s="1"/>
  <c r="I45" i="2"/>
  <c r="I17" i="1" s="1"/>
  <c r="K17" i="1" s="1"/>
  <c r="I32" i="2"/>
  <c r="I15" i="1" s="1"/>
  <c r="K15" i="1" s="1"/>
  <c r="I39" i="2"/>
  <c r="I16" i="1" s="1"/>
  <c r="K16" i="1" s="1"/>
  <c r="I27" i="2"/>
  <c r="I14" i="1" s="1"/>
  <c r="K14" i="1" s="1"/>
  <c r="I20" i="2"/>
  <c r="I13" i="1" s="1"/>
  <c r="K13" i="1" s="1"/>
  <c r="I13" i="2"/>
  <c r="M41" i="1"/>
  <c r="K45" i="1"/>
  <c r="K46" i="1"/>
  <c r="I47" i="1"/>
  <c r="K47" i="1" s="1"/>
  <c r="I46" i="1"/>
  <c r="I45" i="1"/>
  <c r="K29" i="1"/>
  <c r="E41" i="1"/>
  <c r="G24" i="1"/>
  <c r="L7" i="1" s="1"/>
  <c r="E24" i="1"/>
  <c r="L6" i="1" l="1"/>
  <c r="I41" i="1"/>
  <c r="K31" i="1"/>
  <c r="K41" i="1" s="1"/>
  <c r="K42" i="1" s="1"/>
  <c r="I11" i="2" l="1"/>
  <c r="M20" i="4" l="1"/>
  <c r="J20" i="4"/>
  <c r="G20" i="4"/>
  <c r="E20" i="4"/>
  <c r="M12" i="4"/>
  <c r="M21" i="4" s="1"/>
  <c r="L31" i="4" s="1"/>
  <c r="J12" i="4"/>
  <c r="L32" i="4" s="1"/>
  <c r="L34" i="4" s="1"/>
  <c r="G12" i="4"/>
  <c r="E12" i="4"/>
  <c r="I7" i="3" l="1"/>
  <c r="I14" i="2" l="1"/>
  <c r="I12" i="1" l="1"/>
  <c r="I81" i="2"/>
  <c r="L26" i="4" s="1"/>
  <c r="L28" i="4" s="1"/>
  <c r="I7" i="2"/>
  <c r="I24" i="1" l="1"/>
  <c r="K12" i="1"/>
  <c r="K24" i="1" s="1"/>
  <c r="K25" i="1" s="1"/>
  <c r="M54" i="1" s="1"/>
  <c r="K48" i="1"/>
  <c r="I48" i="1"/>
  <c r="M29" i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C40" i="1" s="1"/>
  <c r="M48" i="1" l="1"/>
  <c r="M12" i="1"/>
  <c r="C13" i="1" l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M23" i="1" s="1"/>
  <c r="M24" i="1" s="1"/>
  <c r="M53" i="1" s="1"/>
</calcChain>
</file>

<file path=xl/sharedStrings.xml><?xml version="1.0" encoding="utf-8"?>
<sst xmlns="http://schemas.openxmlformats.org/spreadsheetml/2006/main" count="377" uniqueCount="147">
  <si>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</si>
  <si>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</si>
  <si>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</si>
  <si>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</si>
  <si>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</si>
  <si>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</si>
  <si>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</si>
  <si>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</si>
  <si>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</si>
  <si>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</si>
  <si>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</si>
  <si>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</si>
  <si>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</si>
  <si>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</si>
  <si>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</si>
  <si>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</si>
  <si>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</si>
  <si>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</si>
  <si>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</si>
  <si>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</si>
  <si>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</si>
  <si>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</si>
  <si>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</si>
  <si>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</si>
  <si>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</si>
  <si>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</si>
  <si>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</si>
  <si>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</si>
  <si>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</si>
  <si>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</si>
  <si>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</si>
  <si>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</si>
  <si>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</si>
  <si>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</si>
  <si>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</si>
  <si>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ОТЧЕТ ООО "Управляющая компания "ЮгДомКомфорт" за 2021г. перед собственниками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</si>
  <si>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</si>
  <si>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</si>
  <si>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</si>
  <si>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</si>
  <si>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</si>
  <si>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</si>
  <si>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</si>
  <si>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</si>
  <si>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</si>
  <si>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</si>
  <si>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</si>
  <si>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</si>
  <si>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</si>
  <si>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</si>
  <si>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</si>
  <si>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</si>
  <si>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</si>
  <si>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</si>
  <si>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</si>
  <si>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</si>
  <si>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</si>
  <si>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</si>
  <si>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Содержание газовых сетей - 0,38 руб.</t>
  </si>
  <si>
    <t>Приказ ГЖИ № 2243-Л  от 30.11.21г.</t>
  </si>
  <si>
    <t>Баланс дома на 01.12.2021г.</t>
  </si>
  <si>
    <t xml:space="preserve">Содержание газовых сетей </t>
  </si>
  <si>
    <t>Управляющая компания ООО "УК "ЮгДомКомфорт" с  01.12.2021 г.</t>
  </si>
  <si>
    <t>Приказ ГЖИ № 2243-Л от 30.11.21г.</t>
  </si>
  <si>
    <t>Лицевой счет МКД по адресу: г. Таганрог, ул.  Транспортная, д. 58</t>
  </si>
  <si>
    <t>S жилых помещений - 435,89 м²</t>
  </si>
  <si>
    <t>Протокол №1 от 22 сентября 2021г.</t>
  </si>
  <si>
    <t>Тариф -16,23 руб.</t>
  </si>
  <si>
    <t>Содержание общего имущества МКД -5,31 руб.</t>
  </si>
  <si>
    <t>Ремонт общего имущества МКД - 5,30 руб.</t>
  </si>
  <si>
    <t>Управление многоквартирным домом - 2,24 руб.</t>
  </si>
  <si>
    <t>Вознаграждение председателя Совета МКД - 3,00 руб.</t>
  </si>
  <si>
    <t xml:space="preserve">Вознаграждение председателя Совета МКД </t>
  </si>
  <si>
    <t>на доме № 58 по ул. Транспортная</t>
  </si>
  <si>
    <t>дома по адресу: Ростовская область, г. Таганрог, ул.Транспортная, д. 58</t>
  </si>
  <si>
    <t>Вознаграждение председателю Совета МКД - 3,00 руб.</t>
  </si>
  <si>
    <t xml:space="preserve">Вознаграждение председателю Совета МКД </t>
  </si>
  <si>
    <t>Должники на 01.01.2022г.</t>
  </si>
  <si>
    <t>Начисленно средств за 2022г.</t>
  </si>
  <si>
    <t>Оплачено средств за 2022г.</t>
  </si>
  <si>
    <t>Информация за 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</si>
  <si>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</si>
  <si>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</si>
  <si>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</si>
  <si>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</si>
  <si>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</si>
  <si>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</si>
  <si>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</si>
  <si>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</si>
  <si>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</si>
  <si>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</si>
  <si>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</si>
  <si>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 xml:space="preserve">Остаток по статье "Содержание общего имущества МКД" на конец периода </t>
  </si>
  <si>
    <t>Задолженность на 31.12.2022г.</t>
  </si>
  <si>
    <t>за период с 01.01.2022г. по 31.12.2022г.</t>
  </si>
  <si>
    <t>ЯНВАРЬ 2022г.</t>
  </si>
  <si>
    <t>ИТОГО январь 2022г.</t>
  </si>
  <si>
    <t>ФЕВРАЛЬ 2022г.</t>
  </si>
  <si>
    <t>ИТОГО февраль 2022г.</t>
  </si>
  <si>
    <t>31.01.2022г.</t>
  </si>
  <si>
    <t>28.02.2022г.</t>
  </si>
  <si>
    <t>усл.</t>
  </si>
  <si>
    <t>Хоз. расходы по чекам</t>
  </si>
  <si>
    <t>МАРТ 2022г.</t>
  </si>
  <si>
    <t>ИТОГО март 2022г.</t>
  </si>
  <si>
    <t>Ремонт освещения в подъезде</t>
  </si>
  <si>
    <t xml:space="preserve">Обследование подачи ХВС в подвале </t>
  </si>
  <si>
    <t>АПРЕЛЬ 2022г.</t>
  </si>
  <si>
    <t>ИТОГО апрель 2022г.</t>
  </si>
  <si>
    <t>31.03.2022г.</t>
  </si>
  <si>
    <t>МАЙ 2022г.</t>
  </si>
  <si>
    <t>ИТОГО май 2022г.</t>
  </si>
  <si>
    <t>30.04.2022г.</t>
  </si>
  <si>
    <t>31.05.2022г.</t>
  </si>
  <si>
    <t>Демонтаж- монтаж поворотной задвижки</t>
  </si>
  <si>
    <t>Проверка вентканалов и дымоходов</t>
  </si>
  <si>
    <t>ИЮНЬ 2022г.</t>
  </si>
  <si>
    <t>ИТОГО июнь 2022г.</t>
  </si>
  <si>
    <t>30.06.2022г.</t>
  </si>
  <si>
    <t>Гидравлические испытания системы ЦО</t>
  </si>
  <si>
    <t>ИЮЛЬ 2022г.</t>
  </si>
  <si>
    <t>ИТОГО июль 2022г.</t>
  </si>
  <si>
    <t>31.07.2022г.</t>
  </si>
  <si>
    <t>АВГУСТ 2022г.</t>
  </si>
  <si>
    <t>ИТОГО август 2022г.</t>
  </si>
  <si>
    <t>31.08.2022г.</t>
  </si>
  <si>
    <t>Ревизия уличного освещения, Замена лампы  на "кобре" с лестницы</t>
  </si>
  <si>
    <t>СЕНТЯБРЬ 2022г.</t>
  </si>
  <si>
    <t>ИТОГО сентябрь 2022г.</t>
  </si>
  <si>
    <t>30.09.2022г.</t>
  </si>
  <si>
    <t>ОКТЯБРЬ 2022г.</t>
  </si>
  <si>
    <t>ИТОГО октябрь 2022г.</t>
  </si>
  <si>
    <t>31.10.2022г.</t>
  </si>
  <si>
    <t>Развоздшивание системы ЦО</t>
  </si>
  <si>
    <t>Запуск отопления</t>
  </si>
  <si>
    <t>НОЯБРЬ 2022г.</t>
  </si>
  <si>
    <t>ИТОГО ноябрь 2022г.</t>
  </si>
  <si>
    <t>Устранение протечек кровли с чердака</t>
  </si>
  <si>
    <t>ДЕКАБРЬ 2022г.</t>
  </si>
  <si>
    <t>ИТОГО декабрь 2022г.</t>
  </si>
  <si>
    <t>30.11.2022г.</t>
  </si>
  <si>
    <t>31.12.2022г.</t>
  </si>
  <si>
    <t>ТО ВДГО</t>
  </si>
  <si>
    <t xml:space="preserve">ИТОГО за 2022г. </t>
  </si>
  <si>
    <t xml:space="preserve">Остаток по статье "Ремонт общего имущества МКД" на конец периода </t>
  </si>
  <si>
    <t>с 01.01.2022г. по 31.12.2022г.</t>
  </si>
  <si>
    <t>Содержание и ремонт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</si>
</sst>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0" borderId="3" xfId="0" applyNumberFormat="1" applyFont="1" applyBorder="1"/>
    <xf numFmtId="2" fontId="3" fillId="2" borderId="3" xfId="0" applyNumberFormat="1" applyFont="1" applyFill="1" applyBorder="1"/>
    <xf numFmtId="4" fontId="8" fillId="0" borderId="3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horizontal="left" vertical="center" wrapText="1"/>
    </xf>
    <xf numFmtId="4" fontId="4" fillId="0" borderId="0" xfId="2" applyNumberFormat="1" applyFont="1" applyAlignment="1">
      <alignment horizontal="right" vertical="center" wrapText="1"/>
    </xf>
    <xf numFmtId="2" fontId="0" fillId="0" borderId="0" xfId="0" applyNumberFormat="1"/>
    <xf numFmtId="4" fontId="10" fillId="0" borderId="0" xfId="2" applyNumberForma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3" fillId="4" borderId="4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0" borderId="4" xfId="0" applyFont="1" applyBorder="1"/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0" borderId="4" xfId="0" applyNumberFormat="1" applyFont="1" applyBorder="1"/>
    <xf numFmtId="4" fontId="3" fillId="0" borderId="1" xfId="0" applyNumberFormat="1" applyFont="1" applyBorder="1"/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0" borderId="4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righ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8"/>
  <sheetViews>
    <sheetView showRuler="0" topLeftCell="A36" zoomScaleNormal="100" workbookViewId="0">
      <selection activeCell="A57" sqref="A57:M58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86" t="s">
        <v>64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x14ac:dyDescent="0.3">
      <c r="A2" s="84" t="s">
        <v>65</v>
      </c>
      <c r="B2" s="85"/>
      <c r="C2" s="85"/>
      <c r="D2" s="66"/>
      <c r="E2" s="84" t="s">
        <v>66</v>
      </c>
      <c r="F2" s="85"/>
      <c r="G2" s="85"/>
      <c r="H2" s="85"/>
      <c r="I2" s="66"/>
      <c r="J2" s="84" t="s">
        <v>59</v>
      </c>
      <c r="K2" s="85"/>
      <c r="L2" s="85"/>
      <c r="M2" s="66"/>
    </row>
    <row r="3" spans="1:13" x14ac:dyDescent="0.3">
      <c r="A3" s="84" t="s">
        <v>67</v>
      </c>
      <c r="B3" s="66"/>
      <c r="C3" s="84" t="s">
        <v>68</v>
      </c>
      <c r="D3" s="85"/>
      <c r="E3" s="85"/>
      <c r="F3" s="85"/>
      <c r="G3" s="85"/>
      <c r="H3" s="66"/>
      <c r="I3" s="84" t="s">
        <v>69</v>
      </c>
      <c r="J3" s="85"/>
      <c r="K3" s="85"/>
      <c r="L3" s="85"/>
      <c r="M3" s="66"/>
    </row>
    <row r="4" spans="1:13" x14ac:dyDescent="0.3">
      <c r="A4" s="84" t="s">
        <v>70</v>
      </c>
      <c r="B4" s="85"/>
      <c r="C4" s="85"/>
      <c r="D4" s="85"/>
      <c r="E4" s="85"/>
      <c r="F4" s="85"/>
      <c r="G4" s="66"/>
      <c r="H4" s="84" t="s">
        <v>58</v>
      </c>
      <c r="I4" s="85"/>
      <c r="J4" s="85"/>
      <c r="K4" s="85"/>
      <c r="L4" s="85"/>
      <c r="M4" s="66"/>
    </row>
    <row r="5" spans="1:13" x14ac:dyDescent="0.3">
      <c r="A5" s="84" t="s">
        <v>71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66"/>
    </row>
    <row r="6" spans="1:13" x14ac:dyDescent="0.3">
      <c r="A6" s="84" t="s">
        <v>77</v>
      </c>
      <c r="B6" s="85"/>
      <c r="C6" s="85"/>
      <c r="D6" s="66"/>
      <c r="E6" s="54">
        <v>6958.11</v>
      </c>
      <c r="F6" s="55"/>
      <c r="G6" s="84" t="s">
        <v>78</v>
      </c>
      <c r="H6" s="85"/>
      <c r="I6" s="85"/>
      <c r="J6" s="85"/>
      <c r="K6" s="66"/>
      <c r="L6" s="54">
        <f>E24+E41</f>
        <v>55497.72</v>
      </c>
      <c r="M6" s="55"/>
    </row>
    <row r="7" spans="1:13" x14ac:dyDescent="0.3">
      <c r="A7" s="84" t="s">
        <v>60</v>
      </c>
      <c r="B7" s="85"/>
      <c r="C7" s="85"/>
      <c r="D7" s="66"/>
      <c r="E7" s="54">
        <v>-1878.26</v>
      </c>
      <c r="F7" s="55"/>
      <c r="G7" s="84" t="s">
        <v>79</v>
      </c>
      <c r="H7" s="85"/>
      <c r="I7" s="85"/>
      <c r="J7" s="85"/>
      <c r="K7" s="66"/>
      <c r="L7" s="54">
        <f>G24+G41</f>
        <v>52159.990000000005</v>
      </c>
      <c r="M7" s="66"/>
    </row>
    <row r="8" spans="1:13" x14ac:dyDescent="0.3">
      <c r="A8" s="69" t="s">
        <v>80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1:13" x14ac:dyDescent="0.3">
      <c r="A9" s="86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</row>
    <row r="10" spans="1:13" ht="14.25" customHeight="1" x14ac:dyDescent="0.3">
      <c r="A10" s="84" t="s">
        <v>56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54">
        <v>-2141.46</v>
      </c>
      <c r="M10" s="55"/>
    </row>
    <row r="11" spans="1:13" ht="54.75" customHeight="1" x14ac:dyDescent="0.3">
      <c r="A11" s="79" t="s">
        <v>1</v>
      </c>
      <c r="B11" s="79"/>
      <c r="C11" s="65" t="s">
        <v>6</v>
      </c>
      <c r="D11" s="79"/>
      <c r="E11" s="65" t="s">
        <v>2</v>
      </c>
      <c r="F11" s="79"/>
      <c r="G11" s="65" t="s">
        <v>3</v>
      </c>
      <c r="H11" s="65"/>
      <c r="I11" s="80" t="s">
        <v>4</v>
      </c>
      <c r="J11" s="80"/>
      <c r="K11" s="81" t="s">
        <v>5</v>
      </c>
      <c r="L11" s="82"/>
      <c r="M11" s="2" t="s">
        <v>8</v>
      </c>
    </row>
    <row r="12" spans="1:13" x14ac:dyDescent="0.3">
      <c r="A12" s="57" t="s">
        <v>81</v>
      </c>
      <c r="B12" s="57"/>
      <c r="C12" s="56">
        <v>2050.89</v>
      </c>
      <c r="D12" s="57"/>
      <c r="E12" s="56">
        <v>2314.58</v>
      </c>
      <c r="F12" s="56"/>
      <c r="G12" s="56">
        <v>2677.63</v>
      </c>
      <c r="H12" s="56"/>
      <c r="I12" s="109">
        <f>'СОДЕРЖАНИЕ ЖИЛЬЯ'!I14</f>
        <v>1501.1167700000001</v>
      </c>
      <c r="J12" s="57"/>
      <c r="K12" s="56">
        <f>G12-I12</f>
        <v>1176.51323</v>
      </c>
      <c r="L12" s="57"/>
      <c r="M12" s="3">
        <f>C12+E12-G12</f>
        <v>1687.8399999999992</v>
      </c>
    </row>
    <row r="13" spans="1:13" x14ac:dyDescent="0.3">
      <c r="A13" s="57" t="s">
        <v>82</v>
      </c>
      <c r="B13" s="57"/>
      <c r="C13" s="54">
        <f>M12</f>
        <v>1687.8399999999992</v>
      </c>
      <c r="D13" s="55"/>
      <c r="E13" s="54">
        <v>2314.58</v>
      </c>
      <c r="F13" s="55"/>
      <c r="G13" s="54">
        <v>1161.51</v>
      </c>
      <c r="H13" s="55"/>
      <c r="I13" s="110">
        <f>'СОДЕРЖАНИЕ ЖИЛЬЯ'!I20</f>
        <v>3686.02277</v>
      </c>
      <c r="J13" s="66"/>
      <c r="K13" s="56">
        <f t="shared" ref="K13:K23" si="0">G13-I13</f>
        <v>-2524.5127700000003</v>
      </c>
      <c r="L13" s="57"/>
      <c r="M13" s="3">
        <f t="shared" ref="M13:M23" si="1">C13+E13-G13</f>
        <v>2840.9099999999989</v>
      </c>
    </row>
    <row r="14" spans="1:13" x14ac:dyDescent="0.3">
      <c r="A14" s="57" t="s">
        <v>83</v>
      </c>
      <c r="B14" s="57"/>
      <c r="C14" s="54">
        <f t="shared" ref="C14:C23" si="2">M13</f>
        <v>2840.9099999999989</v>
      </c>
      <c r="D14" s="55"/>
      <c r="E14" s="54">
        <v>2314.58</v>
      </c>
      <c r="F14" s="55"/>
      <c r="G14" s="54">
        <v>2584.5700000000002</v>
      </c>
      <c r="H14" s="55"/>
      <c r="I14" s="110">
        <f>'СОДЕРЖАНИЕ ЖИЛЬЯ'!I27</f>
        <v>2843.3724499999998</v>
      </c>
      <c r="J14" s="66"/>
      <c r="K14" s="56">
        <f t="shared" si="0"/>
        <v>-258.80244999999968</v>
      </c>
      <c r="L14" s="57"/>
      <c r="M14" s="3">
        <f t="shared" si="1"/>
        <v>2570.9199999999987</v>
      </c>
    </row>
    <row r="15" spans="1:13" x14ac:dyDescent="0.3">
      <c r="A15" s="57" t="s">
        <v>84</v>
      </c>
      <c r="B15" s="57"/>
      <c r="C15" s="54">
        <f t="shared" si="2"/>
        <v>2570.9199999999987</v>
      </c>
      <c r="D15" s="55"/>
      <c r="E15" s="54">
        <v>2314.58</v>
      </c>
      <c r="F15" s="55"/>
      <c r="G15" s="54">
        <v>1522.15</v>
      </c>
      <c r="H15" s="55"/>
      <c r="I15" s="110">
        <f>'СОДЕРЖАНИЕ ЖИЛЬЯ'!I32</f>
        <v>1439.3056999999999</v>
      </c>
      <c r="J15" s="66"/>
      <c r="K15" s="56">
        <f t="shared" si="0"/>
        <v>82.844300000000203</v>
      </c>
      <c r="L15" s="57"/>
      <c r="M15" s="3">
        <f t="shared" si="1"/>
        <v>3363.3499999999981</v>
      </c>
    </row>
    <row r="16" spans="1:13" x14ac:dyDescent="0.3">
      <c r="A16" s="57" t="s">
        <v>85</v>
      </c>
      <c r="B16" s="57"/>
      <c r="C16" s="54">
        <f t="shared" si="2"/>
        <v>3363.3499999999981</v>
      </c>
      <c r="D16" s="55"/>
      <c r="E16" s="54">
        <v>2314.58</v>
      </c>
      <c r="F16" s="55"/>
      <c r="G16" s="54">
        <v>2314.87</v>
      </c>
      <c r="H16" s="55"/>
      <c r="I16" s="110">
        <f>'СОДЕРЖАНИЕ ЖИЛЬЯ'!I39</f>
        <v>7167.6474500000004</v>
      </c>
      <c r="J16" s="66"/>
      <c r="K16" s="56">
        <f t="shared" si="0"/>
        <v>-4852.7774500000005</v>
      </c>
      <c r="L16" s="57"/>
      <c r="M16" s="3">
        <f t="shared" si="1"/>
        <v>3363.0599999999986</v>
      </c>
    </row>
    <row r="17" spans="1:13" x14ac:dyDescent="0.3">
      <c r="A17" s="57" t="s">
        <v>86</v>
      </c>
      <c r="B17" s="57"/>
      <c r="C17" s="54">
        <f t="shared" si="2"/>
        <v>3363.0599999999986</v>
      </c>
      <c r="D17" s="55"/>
      <c r="E17" s="54">
        <v>2314.58</v>
      </c>
      <c r="F17" s="55"/>
      <c r="G17" s="54">
        <v>2053.66</v>
      </c>
      <c r="H17" s="55"/>
      <c r="I17" s="110">
        <f>'СОДЕРЖАНИЕ ЖИЛЬЯ'!I45</f>
        <v>9464.6042799999996</v>
      </c>
      <c r="J17" s="66"/>
      <c r="K17" s="56">
        <f t="shared" si="0"/>
        <v>-7410.9442799999997</v>
      </c>
      <c r="L17" s="57"/>
      <c r="M17" s="3">
        <f t="shared" si="1"/>
        <v>3623.9799999999987</v>
      </c>
    </row>
    <row r="18" spans="1:13" x14ac:dyDescent="0.3">
      <c r="A18" s="57" t="s">
        <v>87</v>
      </c>
      <c r="B18" s="57"/>
      <c r="C18" s="54">
        <f t="shared" si="2"/>
        <v>3623.9799999999987</v>
      </c>
      <c r="D18" s="55"/>
      <c r="E18" s="54">
        <v>2314.58</v>
      </c>
      <c r="F18" s="55"/>
      <c r="G18" s="54">
        <v>1783.68</v>
      </c>
      <c r="H18" s="55"/>
      <c r="I18" s="110">
        <f>'СОДЕРЖАНИЕ ЖИЛЬЯ'!I50</f>
        <v>1450.4130500000001</v>
      </c>
      <c r="J18" s="66"/>
      <c r="K18" s="56">
        <f t="shared" si="0"/>
        <v>333.26694999999995</v>
      </c>
      <c r="L18" s="57"/>
      <c r="M18" s="3">
        <f t="shared" si="1"/>
        <v>4154.8799999999983</v>
      </c>
    </row>
    <row r="19" spans="1:13" x14ac:dyDescent="0.3">
      <c r="A19" s="57" t="s">
        <v>88</v>
      </c>
      <c r="B19" s="57"/>
      <c r="C19" s="54">
        <f t="shared" si="2"/>
        <v>4154.8799999999983</v>
      </c>
      <c r="D19" s="55"/>
      <c r="E19" s="54">
        <v>2314.58</v>
      </c>
      <c r="F19" s="55"/>
      <c r="G19" s="54">
        <v>2585.2199999999998</v>
      </c>
      <c r="H19" s="55"/>
      <c r="I19" s="110">
        <f>'СОДЕРЖАНИЕ ЖИЛЬЯ'!I55</f>
        <v>1491.4331</v>
      </c>
      <c r="J19" s="66"/>
      <c r="K19" s="56">
        <f t="shared" si="0"/>
        <v>1093.7868999999998</v>
      </c>
      <c r="L19" s="57"/>
      <c r="M19" s="3">
        <f t="shared" si="1"/>
        <v>3884.2399999999984</v>
      </c>
    </row>
    <row r="20" spans="1:13" x14ac:dyDescent="0.3">
      <c r="A20" s="57" t="s">
        <v>89</v>
      </c>
      <c r="B20" s="57"/>
      <c r="C20" s="54">
        <f t="shared" si="2"/>
        <v>3884.2399999999984</v>
      </c>
      <c r="D20" s="55"/>
      <c r="E20" s="54">
        <v>2314.58</v>
      </c>
      <c r="F20" s="55"/>
      <c r="G20" s="54">
        <v>2835.23</v>
      </c>
      <c r="H20" s="55"/>
      <c r="I20" s="110">
        <f>'СОДЕРЖАНИЕ ЖИЛЬЯ'!I61</f>
        <v>3663.9578000000001</v>
      </c>
      <c r="J20" s="66"/>
      <c r="K20" s="56">
        <f t="shared" si="0"/>
        <v>-828.72780000000012</v>
      </c>
      <c r="L20" s="57"/>
      <c r="M20" s="3">
        <f t="shared" si="1"/>
        <v>3363.5899999999979</v>
      </c>
    </row>
    <row r="21" spans="1:13" x14ac:dyDescent="0.3">
      <c r="A21" s="57" t="s">
        <v>90</v>
      </c>
      <c r="B21" s="57"/>
      <c r="C21" s="54">
        <f t="shared" si="2"/>
        <v>3363.5899999999979</v>
      </c>
      <c r="D21" s="55"/>
      <c r="E21" s="54">
        <v>2314.58</v>
      </c>
      <c r="F21" s="55"/>
      <c r="G21" s="54">
        <v>1795.2</v>
      </c>
      <c r="H21" s="55"/>
      <c r="I21" s="110">
        <f>'СОДЕРЖАНИЕ ЖИЛЬЯ'!I68</f>
        <v>4451.4319999999998</v>
      </c>
      <c r="J21" s="66"/>
      <c r="K21" s="56">
        <f t="shared" si="0"/>
        <v>-2656.232</v>
      </c>
      <c r="L21" s="57"/>
      <c r="M21" s="3">
        <f t="shared" si="1"/>
        <v>3882.9699999999984</v>
      </c>
    </row>
    <row r="22" spans="1:13" x14ac:dyDescent="0.3">
      <c r="A22" s="57" t="s">
        <v>91</v>
      </c>
      <c r="B22" s="57"/>
      <c r="C22" s="54">
        <f t="shared" si="2"/>
        <v>3882.9699999999984</v>
      </c>
      <c r="D22" s="55"/>
      <c r="E22" s="54">
        <v>2314.58</v>
      </c>
      <c r="F22" s="55"/>
      <c r="G22" s="54">
        <v>2043.1</v>
      </c>
      <c r="H22" s="55"/>
      <c r="I22" s="110">
        <f>'СОДЕРЖАНИЕ ЖИЛЬЯ'!I73</f>
        <v>1464.05285</v>
      </c>
      <c r="J22" s="66"/>
      <c r="K22" s="56">
        <f t="shared" si="0"/>
        <v>579.04714999999987</v>
      </c>
      <c r="L22" s="57"/>
      <c r="M22" s="3">
        <f t="shared" si="1"/>
        <v>4154.4499999999989</v>
      </c>
    </row>
    <row r="23" spans="1:13" x14ac:dyDescent="0.3">
      <c r="A23" s="57" t="s">
        <v>7</v>
      </c>
      <c r="B23" s="57"/>
      <c r="C23" s="54">
        <f t="shared" si="2"/>
        <v>4154.4499999999989</v>
      </c>
      <c r="D23" s="55"/>
      <c r="E23" s="54">
        <v>2314.58</v>
      </c>
      <c r="F23" s="55"/>
      <c r="G23" s="54">
        <v>2747.7</v>
      </c>
      <c r="H23" s="55"/>
      <c r="I23" s="110">
        <f>'СОДЕРЖАНИЕ ЖИЛЬЯ'!I80</f>
        <v>6059.9712500000005</v>
      </c>
      <c r="J23" s="66"/>
      <c r="K23" s="56">
        <f t="shared" si="0"/>
        <v>-3312.2712500000007</v>
      </c>
      <c r="L23" s="57"/>
      <c r="M23" s="3">
        <f t="shared" si="1"/>
        <v>3721.329999999999</v>
      </c>
    </row>
    <row r="24" spans="1:13" x14ac:dyDescent="0.3">
      <c r="A24" s="62" t="s">
        <v>9</v>
      </c>
      <c r="B24" s="62"/>
      <c r="C24" s="63"/>
      <c r="D24" s="64"/>
      <c r="E24" s="60">
        <f>SUM(E12:E23)</f>
        <v>27774.960000000006</v>
      </c>
      <c r="F24" s="62"/>
      <c r="G24" s="60">
        <f>SUM(G12:G23)</f>
        <v>26104.52</v>
      </c>
      <c r="H24" s="60"/>
      <c r="I24" s="60">
        <f>SUM(I12:I23)</f>
        <v>44683.329469999997</v>
      </c>
      <c r="J24" s="60"/>
      <c r="K24" s="60">
        <f>SUM(K12:K23)</f>
        <v>-18578.809470000004</v>
      </c>
      <c r="L24" s="62"/>
      <c r="M24" s="4">
        <f>M23</f>
        <v>3721.329999999999</v>
      </c>
    </row>
    <row r="25" spans="1:13" x14ac:dyDescent="0.3">
      <c r="A25" s="49" t="s">
        <v>92</v>
      </c>
      <c r="B25" s="50"/>
      <c r="C25" s="50"/>
      <c r="D25" s="50"/>
      <c r="E25" s="50"/>
      <c r="F25" s="50"/>
      <c r="G25" s="50"/>
      <c r="H25" s="50"/>
      <c r="I25" s="50"/>
      <c r="J25" s="50"/>
      <c r="K25" s="83">
        <f>L10+K24</f>
        <v>-20720.269470000003</v>
      </c>
      <c r="L25" s="83"/>
      <c r="M25" s="42"/>
    </row>
    <row r="26" spans="1:13" x14ac:dyDescent="0.3">
      <c r="A26" s="86" t="s">
        <v>10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/>
    </row>
    <row r="27" spans="1:13" x14ac:dyDescent="0.3">
      <c r="A27" s="84" t="s">
        <v>57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54">
        <v>263.2</v>
      </c>
      <c r="M27" s="55"/>
    </row>
    <row r="28" spans="1:13" ht="53.25" customHeight="1" x14ac:dyDescent="0.3">
      <c r="A28" s="79" t="s">
        <v>1</v>
      </c>
      <c r="B28" s="79"/>
      <c r="C28" s="65" t="s">
        <v>6</v>
      </c>
      <c r="D28" s="79"/>
      <c r="E28" s="65" t="s">
        <v>2</v>
      </c>
      <c r="F28" s="79"/>
      <c r="G28" s="65" t="s">
        <v>3</v>
      </c>
      <c r="H28" s="65"/>
      <c r="I28" s="80" t="s">
        <v>4</v>
      </c>
      <c r="J28" s="80"/>
      <c r="K28" s="81" t="s">
        <v>5</v>
      </c>
      <c r="L28" s="82"/>
      <c r="M28" s="2" t="s">
        <v>8</v>
      </c>
    </row>
    <row r="29" spans="1:13" x14ac:dyDescent="0.3">
      <c r="A29" s="57" t="s">
        <v>81</v>
      </c>
      <c r="B29" s="57"/>
      <c r="C29" s="56">
        <v>2047.03</v>
      </c>
      <c r="D29" s="57"/>
      <c r="E29" s="56">
        <v>2310.23</v>
      </c>
      <c r="F29" s="56"/>
      <c r="G29" s="56">
        <v>2672.59</v>
      </c>
      <c r="H29" s="56"/>
      <c r="I29" s="56">
        <v>0</v>
      </c>
      <c r="J29" s="56"/>
      <c r="K29" s="56">
        <f>G29-I29</f>
        <v>2672.59</v>
      </c>
      <c r="L29" s="57"/>
      <c r="M29" s="3">
        <f>C29+E29-G29</f>
        <v>1684.67</v>
      </c>
    </row>
    <row r="30" spans="1:13" x14ac:dyDescent="0.3">
      <c r="A30" s="57" t="s">
        <v>82</v>
      </c>
      <c r="B30" s="57"/>
      <c r="C30" s="54">
        <f>M29</f>
        <v>1684.67</v>
      </c>
      <c r="D30" s="55"/>
      <c r="E30" s="56">
        <v>2310.23</v>
      </c>
      <c r="F30" s="56"/>
      <c r="G30" s="54">
        <v>1159.32</v>
      </c>
      <c r="H30" s="55"/>
      <c r="I30" s="54">
        <v>0</v>
      </c>
      <c r="J30" s="55"/>
      <c r="K30" s="56">
        <f t="shared" ref="K30:K40" si="3">G30-I30</f>
        <v>1159.32</v>
      </c>
      <c r="L30" s="57"/>
      <c r="M30" s="3">
        <f t="shared" ref="M30:M39" si="4">C30+E30-G30</f>
        <v>2835.58</v>
      </c>
    </row>
    <row r="31" spans="1:13" x14ac:dyDescent="0.3">
      <c r="A31" s="57" t="s">
        <v>83</v>
      </c>
      <c r="B31" s="57"/>
      <c r="C31" s="54">
        <f t="shared" ref="C31:C40" si="5">M30</f>
        <v>2835.58</v>
      </c>
      <c r="D31" s="55"/>
      <c r="E31" s="56">
        <v>2310.23</v>
      </c>
      <c r="F31" s="56"/>
      <c r="G31" s="54">
        <v>2579.71</v>
      </c>
      <c r="H31" s="55"/>
      <c r="I31" s="54">
        <f>'РЕМОНТ ЖИЛЬЯ'!I12</f>
        <v>850</v>
      </c>
      <c r="J31" s="55"/>
      <c r="K31" s="56">
        <f t="shared" si="3"/>
        <v>1729.71</v>
      </c>
      <c r="L31" s="57"/>
      <c r="M31" s="3">
        <f t="shared" si="4"/>
        <v>2566.0999999999995</v>
      </c>
    </row>
    <row r="32" spans="1:13" x14ac:dyDescent="0.3">
      <c r="A32" s="57" t="s">
        <v>84</v>
      </c>
      <c r="B32" s="57"/>
      <c r="C32" s="54">
        <f t="shared" si="5"/>
        <v>2566.0999999999995</v>
      </c>
      <c r="D32" s="55"/>
      <c r="E32" s="56">
        <v>2310.23</v>
      </c>
      <c r="F32" s="56"/>
      <c r="G32" s="54">
        <v>1519.31</v>
      </c>
      <c r="H32" s="55"/>
      <c r="I32" s="54">
        <v>0</v>
      </c>
      <c r="J32" s="55"/>
      <c r="K32" s="56">
        <f t="shared" si="3"/>
        <v>1519.31</v>
      </c>
      <c r="L32" s="57"/>
      <c r="M32" s="3">
        <f t="shared" si="4"/>
        <v>3357.02</v>
      </c>
    </row>
    <row r="33" spans="1:19" x14ac:dyDescent="0.3">
      <c r="A33" s="57" t="s">
        <v>85</v>
      </c>
      <c r="B33" s="57"/>
      <c r="C33" s="54">
        <f t="shared" si="5"/>
        <v>3357.02</v>
      </c>
      <c r="D33" s="55"/>
      <c r="E33" s="56">
        <v>2310.23</v>
      </c>
      <c r="F33" s="56"/>
      <c r="G33" s="54">
        <v>2310.52</v>
      </c>
      <c r="H33" s="55"/>
      <c r="I33" s="54">
        <v>0</v>
      </c>
      <c r="J33" s="55"/>
      <c r="K33" s="56">
        <f t="shared" si="3"/>
        <v>2310.52</v>
      </c>
      <c r="L33" s="57"/>
      <c r="M33" s="3">
        <f t="shared" si="4"/>
        <v>3356.73</v>
      </c>
    </row>
    <row r="34" spans="1:19" x14ac:dyDescent="0.3">
      <c r="A34" s="57" t="s">
        <v>86</v>
      </c>
      <c r="B34" s="57"/>
      <c r="C34" s="54">
        <f t="shared" si="5"/>
        <v>3356.73</v>
      </c>
      <c r="D34" s="55"/>
      <c r="E34" s="56">
        <v>2310.23</v>
      </c>
      <c r="F34" s="56"/>
      <c r="G34" s="54">
        <v>2049.81</v>
      </c>
      <c r="H34" s="55"/>
      <c r="I34" s="54">
        <v>0</v>
      </c>
      <c r="J34" s="55"/>
      <c r="K34" s="56">
        <f t="shared" si="3"/>
        <v>2049.81</v>
      </c>
      <c r="L34" s="57"/>
      <c r="M34" s="3">
        <f t="shared" si="4"/>
        <v>3617.15</v>
      </c>
    </row>
    <row r="35" spans="1:19" x14ac:dyDescent="0.3">
      <c r="A35" s="57" t="s">
        <v>87</v>
      </c>
      <c r="B35" s="57"/>
      <c r="C35" s="54">
        <f t="shared" si="5"/>
        <v>3617.15</v>
      </c>
      <c r="D35" s="55"/>
      <c r="E35" s="56">
        <v>2310.23</v>
      </c>
      <c r="F35" s="56"/>
      <c r="G35" s="54">
        <v>1780.34</v>
      </c>
      <c r="H35" s="55"/>
      <c r="I35" s="54">
        <v>0</v>
      </c>
      <c r="J35" s="55"/>
      <c r="K35" s="56">
        <f t="shared" si="3"/>
        <v>1780.34</v>
      </c>
      <c r="L35" s="57"/>
      <c r="M35" s="3">
        <f t="shared" si="4"/>
        <v>4147.04</v>
      </c>
    </row>
    <row r="36" spans="1:19" x14ac:dyDescent="0.3">
      <c r="A36" s="57" t="s">
        <v>88</v>
      </c>
      <c r="B36" s="57"/>
      <c r="C36" s="54">
        <f t="shared" si="5"/>
        <v>4147.04</v>
      </c>
      <c r="D36" s="55"/>
      <c r="E36" s="56">
        <v>2310.23</v>
      </c>
      <c r="F36" s="56"/>
      <c r="G36" s="54">
        <v>2580.35</v>
      </c>
      <c r="H36" s="55"/>
      <c r="I36" s="54">
        <f>'РЕМОНТ ЖИЛЬЯ'!I15</f>
        <v>1000</v>
      </c>
      <c r="J36" s="55"/>
      <c r="K36" s="56">
        <f t="shared" si="3"/>
        <v>1580.35</v>
      </c>
      <c r="L36" s="57"/>
      <c r="M36" s="3">
        <f t="shared" si="4"/>
        <v>3876.9200000000005</v>
      </c>
    </row>
    <row r="37" spans="1:19" x14ac:dyDescent="0.3">
      <c r="A37" s="57" t="s">
        <v>89</v>
      </c>
      <c r="B37" s="57"/>
      <c r="C37" s="54">
        <f t="shared" si="5"/>
        <v>3876.9200000000005</v>
      </c>
      <c r="D37" s="55"/>
      <c r="E37" s="56">
        <v>2310.23</v>
      </c>
      <c r="F37" s="56"/>
      <c r="G37" s="54">
        <v>2829.91</v>
      </c>
      <c r="H37" s="55"/>
      <c r="I37" s="54">
        <v>0</v>
      </c>
      <c r="J37" s="55"/>
      <c r="K37" s="56">
        <f t="shared" si="3"/>
        <v>2829.91</v>
      </c>
      <c r="L37" s="57"/>
      <c r="M37" s="3">
        <f t="shared" si="4"/>
        <v>3357.2400000000007</v>
      </c>
    </row>
    <row r="38" spans="1:19" x14ac:dyDescent="0.3">
      <c r="A38" s="57" t="s">
        <v>90</v>
      </c>
      <c r="B38" s="57"/>
      <c r="C38" s="54">
        <f t="shared" si="5"/>
        <v>3357.2400000000007</v>
      </c>
      <c r="D38" s="55"/>
      <c r="E38" s="56">
        <v>2310.23</v>
      </c>
      <c r="F38" s="56"/>
      <c r="G38" s="54">
        <v>1791.83</v>
      </c>
      <c r="H38" s="55"/>
      <c r="I38" s="54">
        <v>0</v>
      </c>
      <c r="J38" s="55"/>
      <c r="K38" s="56">
        <f t="shared" si="3"/>
        <v>1791.83</v>
      </c>
      <c r="L38" s="57"/>
      <c r="M38" s="3">
        <f t="shared" si="4"/>
        <v>3875.6400000000012</v>
      </c>
    </row>
    <row r="39" spans="1:19" x14ac:dyDescent="0.3">
      <c r="A39" s="57" t="s">
        <v>91</v>
      </c>
      <c r="B39" s="57"/>
      <c r="C39" s="54">
        <f t="shared" si="5"/>
        <v>3875.6400000000012</v>
      </c>
      <c r="D39" s="55"/>
      <c r="E39" s="56">
        <v>2310.23</v>
      </c>
      <c r="F39" s="56"/>
      <c r="G39" s="54">
        <v>2039.26</v>
      </c>
      <c r="H39" s="55"/>
      <c r="I39" s="54">
        <f>'РЕМОНТ ЖИЛЬЯ'!I18</f>
        <v>2835</v>
      </c>
      <c r="J39" s="55"/>
      <c r="K39" s="56">
        <f t="shared" si="3"/>
        <v>-795.74</v>
      </c>
      <c r="L39" s="57"/>
      <c r="M39" s="3">
        <f t="shared" si="4"/>
        <v>4146.6100000000006</v>
      </c>
    </row>
    <row r="40" spans="1:19" x14ac:dyDescent="0.3">
      <c r="A40" s="57" t="s">
        <v>7</v>
      </c>
      <c r="B40" s="57"/>
      <c r="C40" s="54">
        <f t="shared" si="5"/>
        <v>4146.6100000000006</v>
      </c>
      <c r="D40" s="55"/>
      <c r="E40" s="56">
        <v>2310.23</v>
      </c>
      <c r="F40" s="56"/>
      <c r="G40" s="54">
        <v>2742.52</v>
      </c>
      <c r="H40" s="55"/>
      <c r="I40" s="54">
        <v>0</v>
      </c>
      <c r="J40" s="55"/>
      <c r="K40" s="56">
        <f t="shared" si="3"/>
        <v>2742.52</v>
      </c>
      <c r="L40" s="57"/>
      <c r="M40" s="3">
        <v>3714.32</v>
      </c>
    </row>
    <row r="41" spans="1:19" x14ac:dyDescent="0.3">
      <c r="A41" s="62" t="s">
        <v>9</v>
      </c>
      <c r="B41" s="62"/>
      <c r="C41" s="63"/>
      <c r="D41" s="64"/>
      <c r="E41" s="60">
        <f>SUM(E29:E40)</f>
        <v>27722.76</v>
      </c>
      <c r="F41" s="62"/>
      <c r="G41" s="60">
        <f>SUM(G29:G40)</f>
        <v>26055.47</v>
      </c>
      <c r="H41" s="60"/>
      <c r="I41" s="60">
        <f>SUM(I29:I40)</f>
        <v>4685</v>
      </c>
      <c r="J41" s="60"/>
      <c r="K41" s="60">
        <f>SUM(K29:K40)</f>
        <v>21370.47</v>
      </c>
      <c r="L41" s="60"/>
      <c r="M41" s="4">
        <f>M40</f>
        <v>3714.32</v>
      </c>
      <c r="S41" s="47"/>
    </row>
    <row r="42" spans="1:19" x14ac:dyDescent="0.3">
      <c r="A42" s="49" t="s">
        <v>144</v>
      </c>
      <c r="B42" s="50"/>
      <c r="C42" s="50"/>
      <c r="D42" s="50"/>
      <c r="E42" s="50"/>
      <c r="F42" s="50"/>
      <c r="G42" s="50"/>
      <c r="H42" s="50"/>
      <c r="I42" s="50"/>
      <c r="J42" s="51"/>
      <c r="K42" s="52">
        <f>L27+K41</f>
        <v>21633.670000000002</v>
      </c>
      <c r="L42" s="53"/>
      <c r="M42" s="4"/>
    </row>
    <row r="43" spans="1:19" x14ac:dyDescent="0.3">
      <c r="A43" s="61" t="s">
        <v>11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9" ht="46.5" customHeight="1" x14ac:dyDescent="0.3">
      <c r="A44" s="69" t="s">
        <v>12</v>
      </c>
      <c r="B44" s="70"/>
      <c r="C44" s="70"/>
      <c r="D44" s="71"/>
      <c r="E44" s="72" t="s">
        <v>6</v>
      </c>
      <c r="F44" s="73"/>
      <c r="G44" s="73"/>
      <c r="H44" s="74"/>
      <c r="I44" s="65" t="s">
        <v>2</v>
      </c>
      <c r="J44" s="79"/>
      <c r="K44" s="65" t="s">
        <v>3</v>
      </c>
      <c r="L44" s="65"/>
      <c r="M44" s="2" t="s">
        <v>8</v>
      </c>
    </row>
    <row r="45" spans="1:19" ht="17.25" customHeight="1" x14ac:dyDescent="0.3">
      <c r="A45" s="93" t="s">
        <v>14</v>
      </c>
      <c r="B45" s="94"/>
      <c r="C45" s="94"/>
      <c r="D45" s="95"/>
      <c r="E45" s="75">
        <v>40.9</v>
      </c>
      <c r="F45" s="76"/>
      <c r="G45" s="76"/>
      <c r="H45" s="77"/>
      <c r="I45" s="100">
        <f>(46.16*6)+(47.99*5)+52.3</f>
        <v>569.20999999999992</v>
      </c>
      <c r="J45" s="101"/>
      <c r="K45" s="90">
        <f>E45+I45-M45</f>
        <v>531.84999999999991</v>
      </c>
      <c r="L45" s="91"/>
      <c r="M45" s="5">
        <v>78.260000000000005</v>
      </c>
      <c r="O45" s="47"/>
    </row>
    <row r="46" spans="1:19" x14ac:dyDescent="0.3">
      <c r="A46" s="84" t="s">
        <v>13</v>
      </c>
      <c r="B46" s="85"/>
      <c r="C46" s="85"/>
      <c r="D46" s="66"/>
      <c r="E46" s="54">
        <v>90.6</v>
      </c>
      <c r="F46" s="78"/>
      <c r="G46" s="78"/>
      <c r="H46" s="55"/>
      <c r="I46" s="54">
        <f>(102.32*6)+(107.85*5)+117.53</f>
        <v>1270.7</v>
      </c>
      <c r="J46" s="55"/>
      <c r="K46" s="54">
        <f>E46+I46-M46</f>
        <v>1186.3799999999999</v>
      </c>
      <c r="L46" s="66"/>
      <c r="M46" s="5">
        <v>174.92</v>
      </c>
    </row>
    <row r="47" spans="1:19" x14ac:dyDescent="0.3">
      <c r="A47" s="84" t="s">
        <v>15</v>
      </c>
      <c r="B47" s="85"/>
      <c r="C47" s="85"/>
      <c r="D47" s="66"/>
      <c r="E47" s="54">
        <v>557.99</v>
      </c>
      <c r="F47" s="78"/>
      <c r="G47" s="78"/>
      <c r="H47" s="55"/>
      <c r="I47" s="84">
        <f>(629.73*5)+541.04+(562.67*5)+612.32</f>
        <v>7115.36</v>
      </c>
      <c r="J47" s="66"/>
      <c r="K47" s="54">
        <f>E47+I47-M47</f>
        <v>6705.9999999999991</v>
      </c>
      <c r="L47" s="66"/>
      <c r="M47" s="5">
        <v>967.35</v>
      </c>
    </row>
    <row r="48" spans="1:19" x14ac:dyDescent="0.3">
      <c r="A48" s="67"/>
      <c r="B48" s="96"/>
      <c r="C48" s="96"/>
      <c r="D48" s="68"/>
      <c r="E48" s="92"/>
      <c r="F48" s="102"/>
      <c r="G48" s="102"/>
      <c r="H48" s="103"/>
      <c r="I48" s="92">
        <f>SUM(I45:I47)</f>
        <v>8955.27</v>
      </c>
      <c r="J48" s="68"/>
      <c r="K48" s="67">
        <f>SUM(K45:K47)</f>
        <v>8424.23</v>
      </c>
      <c r="L48" s="68"/>
      <c r="M48" s="4">
        <f>SUM(M45:M47)</f>
        <v>1220.53</v>
      </c>
    </row>
    <row r="49" spans="1:13" x14ac:dyDescent="0.3">
      <c r="A49" s="84" t="s">
        <v>72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66"/>
      <c r="M49" s="41">
        <v>2102.42</v>
      </c>
    </row>
    <row r="50" spans="1:13" x14ac:dyDescent="0.3">
      <c r="A50" s="89" t="s">
        <v>16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43">
        <v>1569.84</v>
      </c>
    </row>
    <row r="51" spans="1:13" x14ac:dyDescent="0.3">
      <c r="A51" s="97" t="s">
        <v>61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9"/>
      <c r="M51" s="7">
        <v>266.33999999999997</v>
      </c>
    </row>
    <row r="52" spans="1:13" x14ac:dyDescent="0.3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6"/>
    </row>
    <row r="53" spans="1:13" ht="15.6" x14ac:dyDescent="0.3">
      <c r="A53" s="89" t="s">
        <v>93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9">
        <f>M24+M41+M48+M49+M50+M51</f>
        <v>12594.78</v>
      </c>
    </row>
    <row r="54" spans="1:13" x14ac:dyDescent="0.3">
      <c r="A54" s="89" t="s">
        <v>17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">
        <f>K25+K42</f>
        <v>913.40052999999898</v>
      </c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58"/>
      <c r="B57" s="58"/>
      <c r="C57" s="58"/>
      <c r="D57" s="58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58"/>
      <c r="B58" s="58"/>
      <c r="C58" s="58"/>
      <c r="D58" s="58"/>
      <c r="K58" s="59"/>
      <c r="L58" s="59"/>
      <c r="M58" s="59"/>
    </row>
  </sheetData>
  <mergeCells count="227">
    <mergeCell ref="I23:J2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E23:F23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A23:B23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I44:J44"/>
    <mergeCell ref="A52:M52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2:J12"/>
    <mergeCell ref="K11:L11"/>
    <mergeCell ref="K12:L12"/>
    <mergeCell ref="A12:B12"/>
    <mergeCell ref="C12:D12"/>
    <mergeCell ref="E12:F12"/>
    <mergeCell ref="I11:J11"/>
    <mergeCell ref="K24:L24"/>
    <mergeCell ref="A26:M26"/>
    <mergeCell ref="A27:K27"/>
    <mergeCell ref="A53:L53"/>
    <mergeCell ref="A54:L54"/>
    <mergeCell ref="K45:L45"/>
    <mergeCell ref="A50:L50"/>
    <mergeCell ref="I46:J46"/>
    <mergeCell ref="I47:J47"/>
    <mergeCell ref="I48:J48"/>
    <mergeCell ref="A45:D45"/>
    <mergeCell ref="A46:D46"/>
    <mergeCell ref="A47:D47"/>
    <mergeCell ref="A48:D48"/>
    <mergeCell ref="A51:L51"/>
    <mergeCell ref="I45:J45"/>
    <mergeCell ref="A49:L49"/>
    <mergeCell ref="E47:H47"/>
    <mergeCell ref="E48:H48"/>
    <mergeCell ref="A4:G4"/>
    <mergeCell ref="H4:M4"/>
    <mergeCell ref="L10:M10"/>
    <mergeCell ref="A10:K10"/>
    <mergeCell ref="A7:D7"/>
    <mergeCell ref="E7:F7"/>
    <mergeCell ref="G7:K7"/>
    <mergeCell ref="A5:M5"/>
    <mergeCell ref="A1:M1"/>
    <mergeCell ref="A2:D2"/>
    <mergeCell ref="E2:I2"/>
    <mergeCell ref="J2:M2"/>
    <mergeCell ref="A3:B3"/>
    <mergeCell ref="C3:H3"/>
    <mergeCell ref="I3:M3"/>
    <mergeCell ref="L27:M27"/>
    <mergeCell ref="A28:B28"/>
    <mergeCell ref="C28:D28"/>
    <mergeCell ref="E28:F28"/>
    <mergeCell ref="G28:H28"/>
    <mergeCell ref="I28:J28"/>
    <mergeCell ref="K28:L28"/>
    <mergeCell ref="A24:B24"/>
    <mergeCell ref="C24:D24"/>
    <mergeCell ref="E24:F24"/>
    <mergeCell ref="G24:H24"/>
    <mergeCell ref="I24:J24"/>
    <mergeCell ref="A25:J25"/>
    <mergeCell ref="K25:L25"/>
    <mergeCell ref="A29:B29"/>
    <mergeCell ref="C29:D29"/>
    <mergeCell ref="E29:F29"/>
    <mergeCell ref="G29:H29"/>
    <mergeCell ref="I29:J29"/>
    <mergeCell ref="K29:L29"/>
    <mergeCell ref="A57:D57"/>
    <mergeCell ref="A58:D58"/>
    <mergeCell ref="K58:M58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E44:H44"/>
    <mergeCell ref="E45:H45"/>
    <mergeCell ref="E46:H46"/>
    <mergeCell ref="A39:B39"/>
    <mergeCell ref="A40:B4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E39:F39"/>
    <mergeCell ref="E40:F40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42:J42"/>
    <mergeCell ref="K42:L42"/>
    <mergeCell ref="I39:J39"/>
    <mergeCell ref="I40:J40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86"/>
  <sheetViews>
    <sheetView topLeftCell="A76" zoomScaleNormal="100" workbookViewId="0">
      <selection activeCell="B85" sqref="B85:I89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18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25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73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94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62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19</v>
      </c>
      <c r="I7" s="21">
        <f ca="1">TODAY()</f>
        <v>45015</v>
      </c>
    </row>
    <row r="8" spans="2:10" ht="12.75" customHeight="1" x14ac:dyDescent="0.3">
      <c r="B8" s="118" t="s">
        <v>20</v>
      </c>
      <c r="C8" s="111" t="s">
        <v>27</v>
      </c>
      <c r="D8" s="116" t="s">
        <v>21</v>
      </c>
      <c r="E8" s="113"/>
      <c r="F8" s="111" t="s">
        <v>22</v>
      </c>
      <c r="G8" s="111" t="s">
        <v>23</v>
      </c>
      <c r="H8" s="111" t="s">
        <v>24</v>
      </c>
      <c r="I8" s="113" t="s">
        <v>26</v>
      </c>
    </row>
    <row r="9" spans="2:10" ht="24" customHeight="1" x14ac:dyDescent="0.3">
      <c r="B9" s="119"/>
      <c r="C9" s="112"/>
      <c r="D9" s="117"/>
      <c r="E9" s="114"/>
      <c r="F9" s="120"/>
      <c r="G9" s="120"/>
      <c r="H9" s="112"/>
      <c r="I9" s="114"/>
    </row>
    <row r="10" spans="2:10" x14ac:dyDescent="0.3">
      <c r="B10" s="121" t="s">
        <v>95</v>
      </c>
      <c r="C10" s="122"/>
      <c r="D10" s="122"/>
      <c r="E10" s="122"/>
      <c r="F10" s="122"/>
      <c r="G10" s="122"/>
      <c r="H10" s="122"/>
      <c r="I10" s="123"/>
    </row>
    <row r="11" spans="2:10" ht="26.4" x14ac:dyDescent="0.3">
      <c r="B11" s="22">
        <v>1</v>
      </c>
      <c r="C11" s="23" t="s">
        <v>99</v>
      </c>
      <c r="D11" s="130" t="s">
        <v>30</v>
      </c>
      <c r="E11" s="131"/>
      <c r="F11" s="27" t="s">
        <v>28</v>
      </c>
      <c r="G11" s="28" t="s">
        <v>29</v>
      </c>
      <c r="H11" s="28">
        <v>435.89</v>
      </c>
      <c r="I11" s="29">
        <f>H11*2.7</f>
        <v>1176.903</v>
      </c>
    </row>
    <row r="12" spans="2:10" ht="26.4" x14ac:dyDescent="0.3">
      <c r="B12" s="22">
        <v>2</v>
      </c>
      <c r="C12" s="23" t="s">
        <v>99</v>
      </c>
      <c r="D12" s="130" t="s">
        <v>30</v>
      </c>
      <c r="E12" s="131"/>
      <c r="F12" s="27" t="s">
        <v>32</v>
      </c>
      <c r="G12" s="28" t="s">
        <v>31</v>
      </c>
      <c r="H12" s="28">
        <v>1</v>
      </c>
      <c r="I12" s="29">
        <f>(7856.69*1.8%)+(9280.29*1.5%)</f>
        <v>280.62477000000001</v>
      </c>
    </row>
    <row r="13" spans="2:10" ht="30.75" customHeight="1" x14ac:dyDescent="0.3">
      <c r="B13" s="22">
        <v>4</v>
      </c>
      <c r="C13" s="23" t="s">
        <v>99</v>
      </c>
      <c r="D13" s="130" t="s">
        <v>30</v>
      </c>
      <c r="E13" s="131"/>
      <c r="F13" s="27" t="s">
        <v>34</v>
      </c>
      <c r="G13" s="28" t="s">
        <v>31</v>
      </c>
      <c r="H13" s="28">
        <v>1</v>
      </c>
      <c r="I13" s="29">
        <f>435.89*0.1</f>
        <v>43.588999999999999</v>
      </c>
    </row>
    <row r="14" spans="2:10" x14ac:dyDescent="0.3">
      <c r="B14" s="124" t="s">
        <v>96</v>
      </c>
      <c r="C14" s="125"/>
      <c r="D14" s="125"/>
      <c r="E14" s="125"/>
      <c r="F14" s="125"/>
      <c r="G14" s="125"/>
      <c r="H14" s="126"/>
      <c r="I14" s="44">
        <f>SUM(I11:I13)</f>
        <v>1501.1167700000001</v>
      </c>
    </row>
    <row r="15" spans="2:10" x14ac:dyDescent="0.3">
      <c r="B15" s="121" t="s">
        <v>97</v>
      </c>
      <c r="C15" s="122"/>
      <c r="D15" s="122"/>
      <c r="E15" s="122"/>
      <c r="F15" s="122"/>
      <c r="G15" s="122"/>
      <c r="H15" s="122"/>
      <c r="I15" s="123"/>
    </row>
    <row r="16" spans="2:10" ht="26.4" x14ac:dyDescent="0.3">
      <c r="B16" s="22">
        <v>1</v>
      </c>
      <c r="C16" s="23" t="s">
        <v>100</v>
      </c>
      <c r="D16" s="130" t="s">
        <v>30</v>
      </c>
      <c r="E16" s="131"/>
      <c r="F16" s="27" t="s">
        <v>28</v>
      </c>
      <c r="G16" s="28" t="s">
        <v>29</v>
      </c>
      <c r="H16" s="28">
        <v>435.89</v>
      </c>
      <c r="I16" s="29">
        <f>H16*2.7</f>
        <v>1176.903</v>
      </c>
    </row>
    <row r="17" spans="2:18" ht="26.4" x14ac:dyDescent="0.3">
      <c r="B17" s="22">
        <v>2</v>
      </c>
      <c r="C17" s="23" t="s">
        <v>100</v>
      </c>
      <c r="D17" s="130" t="s">
        <v>30</v>
      </c>
      <c r="E17" s="131"/>
      <c r="F17" s="27" t="s">
        <v>32</v>
      </c>
      <c r="G17" s="28" t="s">
        <v>31</v>
      </c>
      <c r="H17" s="28">
        <v>1</v>
      </c>
      <c r="I17" s="29">
        <f>(7856.69*1.8%)+(3940.69*1.5%)</f>
        <v>200.53077000000002</v>
      </c>
    </row>
    <row r="18" spans="2:18" x14ac:dyDescent="0.3">
      <c r="B18" s="22">
        <v>3</v>
      </c>
      <c r="C18" s="23" t="s">
        <v>100</v>
      </c>
      <c r="D18" s="130" t="s">
        <v>30</v>
      </c>
      <c r="E18" s="131"/>
      <c r="F18" s="27" t="s">
        <v>102</v>
      </c>
      <c r="G18" s="28" t="s">
        <v>101</v>
      </c>
      <c r="H18" s="28">
        <v>1</v>
      </c>
      <c r="I18" s="29">
        <v>2265</v>
      </c>
    </row>
    <row r="19" spans="2:18" ht="30.75" customHeight="1" x14ac:dyDescent="0.3">
      <c r="B19" s="22">
        <v>4</v>
      </c>
      <c r="C19" s="23" t="s">
        <v>100</v>
      </c>
      <c r="D19" s="130" t="s">
        <v>30</v>
      </c>
      <c r="E19" s="131"/>
      <c r="F19" s="27" t="s">
        <v>34</v>
      </c>
      <c r="G19" s="28" t="s">
        <v>31</v>
      </c>
      <c r="H19" s="28">
        <v>1</v>
      </c>
      <c r="I19" s="29">
        <f>435.89*0.1</f>
        <v>43.588999999999999</v>
      </c>
    </row>
    <row r="20" spans="2:18" x14ac:dyDescent="0.3">
      <c r="B20" s="124" t="s">
        <v>98</v>
      </c>
      <c r="C20" s="125"/>
      <c r="D20" s="125"/>
      <c r="E20" s="125"/>
      <c r="F20" s="125"/>
      <c r="G20" s="125"/>
      <c r="H20" s="126"/>
      <c r="I20" s="44">
        <f>SUM(I16:I19)</f>
        <v>3686.02277</v>
      </c>
    </row>
    <row r="21" spans="2:18" x14ac:dyDescent="0.3">
      <c r="B21" s="121" t="s">
        <v>103</v>
      </c>
      <c r="C21" s="122"/>
      <c r="D21" s="122"/>
      <c r="E21" s="122"/>
      <c r="F21" s="122"/>
      <c r="G21" s="122"/>
      <c r="H21" s="122"/>
      <c r="I21" s="123"/>
    </row>
    <row r="22" spans="2:18" ht="26.4" x14ac:dyDescent="0.3">
      <c r="B22" s="22">
        <v>1</v>
      </c>
      <c r="C22" s="23" t="s">
        <v>109</v>
      </c>
      <c r="D22" s="130" t="s">
        <v>30</v>
      </c>
      <c r="E22" s="131"/>
      <c r="F22" s="27" t="s">
        <v>28</v>
      </c>
      <c r="G22" s="28" t="s">
        <v>29</v>
      </c>
      <c r="H22" s="28">
        <v>435.89</v>
      </c>
      <c r="I22" s="29">
        <f>H22*2.7</f>
        <v>1176.903</v>
      </c>
      <c r="R22" s="48"/>
    </row>
    <row r="23" spans="2:18" ht="26.4" x14ac:dyDescent="0.3">
      <c r="B23" s="22">
        <v>2</v>
      </c>
      <c r="C23" s="23" t="s">
        <v>109</v>
      </c>
      <c r="D23" s="130" t="s">
        <v>30</v>
      </c>
      <c r="E23" s="131"/>
      <c r="F23" s="27" t="s">
        <v>32</v>
      </c>
      <c r="G23" s="28" t="s">
        <v>31</v>
      </c>
      <c r="H23" s="28">
        <v>1</v>
      </c>
      <c r="I23" s="29">
        <f>(7852.75*1.8%)+(8768.73*1.5%)</f>
        <v>272.88045</v>
      </c>
    </row>
    <row r="24" spans="2:18" ht="26.4" x14ac:dyDescent="0.3">
      <c r="B24" s="22">
        <v>3</v>
      </c>
      <c r="C24" s="23" t="s">
        <v>109</v>
      </c>
      <c r="D24" s="130" t="s">
        <v>30</v>
      </c>
      <c r="E24" s="131"/>
      <c r="F24" s="27" t="s">
        <v>105</v>
      </c>
      <c r="G24" s="28" t="s">
        <v>101</v>
      </c>
      <c r="H24" s="28">
        <v>1</v>
      </c>
      <c r="I24" s="29">
        <v>850</v>
      </c>
    </row>
    <row r="25" spans="2:18" ht="26.4" x14ac:dyDescent="0.3">
      <c r="B25" s="22">
        <v>4</v>
      </c>
      <c r="C25" s="23" t="s">
        <v>109</v>
      </c>
      <c r="D25" s="130" t="s">
        <v>30</v>
      </c>
      <c r="E25" s="131"/>
      <c r="F25" s="27" t="s">
        <v>106</v>
      </c>
      <c r="G25" s="28" t="s">
        <v>101</v>
      </c>
      <c r="H25" s="28">
        <v>1</v>
      </c>
      <c r="I25" s="29">
        <v>500</v>
      </c>
    </row>
    <row r="26" spans="2:18" ht="30.75" customHeight="1" x14ac:dyDescent="0.3">
      <c r="B26" s="22">
        <v>5</v>
      </c>
      <c r="C26" s="23" t="s">
        <v>109</v>
      </c>
      <c r="D26" s="130" t="s">
        <v>30</v>
      </c>
      <c r="E26" s="131"/>
      <c r="F26" s="27" t="s">
        <v>34</v>
      </c>
      <c r="G26" s="28" t="s">
        <v>31</v>
      </c>
      <c r="H26" s="28">
        <v>1</v>
      </c>
      <c r="I26" s="29">
        <f>435.89*0.1</f>
        <v>43.588999999999999</v>
      </c>
    </row>
    <row r="27" spans="2:18" x14ac:dyDescent="0.3">
      <c r="B27" s="124" t="s">
        <v>104</v>
      </c>
      <c r="C27" s="125"/>
      <c r="D27" s="125"/>
      <c r="E27" s="125"/>
      <c r="F27" s="125"/>
      <c r="G27" s="125"/>
      <c r="H27" s="126"/>
      <c r="I27" s="44">
        <f>SUM(I22:I26)</f>
        <v>2843.3724499999998</v>
      </c>
    </row>
    <row r="28" spans="2:18" x14ac:dyDescent="0.3">
      <c r="B28" s="121" t="s">
        <v>107</v>
      </c>
      <c r="C28" s="122"/>
      <c r="D28" s="122"/>
      <c r="E28" s="122"/>
      <c r="F28" s="122"/>
      <c r="G28" s="122"/>
      <c r="H28" s="122"/>
      <c r="I28" s="123"/>
    </row>
    <row r="29" spans="2:18" ht="26.4" x14ac:dyDescent="0.3">
      <c r="B29" s="22">
        <v>1</v>
      </c>
      <c r="C29" s="23" t="s">
        <v>112</v>
      </c>
      <c r="D29" s="130" t="s">
        <v>30</v>
      </c>
      <c r="E29" s="131"/>
      <c r="F29" s="27" t="s">
        <v>28</v>
      </c>
      <c r="G29" s="28" t="s">
        <v>29</v>
      </c>
      <c r="H29" s="28">
        <v>435.89</v>
      </c>
      <c r="I29" s="29">
        <f>H29*2.7</f>
        <v>1176.903</v>
      </c>
    </row>
    <row r="30" spans="2:18" ht="26.4" x14ac:dyDescent="0.3">
      <c r="B30" s="22">
        <v>2</v>
      </c>
      <c r="C30" s="23" t="s">
        <v>112</v>
      </c>
      <c r="D30" s="130" t="s">
        <v>30</v>
      </c>
      <c r="E30" s="131"/>
      <c r="F30" s="27" t="s">
        <v>32</v>
      </c>
      <c r="G30" s="28" t="s">
        <v>31</v>
      </c>
      <c r="H30" s="28">
        <v>1</v>
      </c>
      <c r="I30" s="29">
        <f>(7852.75*1.8%)+(5164.28*1.5%)</f>
        <v>218.81369999999998</v>
      </c>
    </row>
    <row r="31" spans="2:18" ht="30.75" customHeight="1" x14ac:dyDescent="0.3">
      <c r="B31" s="22">
        <v>3</v>
      </c>
      <c r="C31" s="23" t="s">
        <v>112</v>
      </c>
      <c r="D31" s="130" t="s">
        <v>30</v>
      </c>
      <c r="E31" s="131"/>
      <c r="F31" s="27" t="s">
        <v>34</v>
      </c>
      <c r="G31" s="28" t="s">
        <v>31</v>
      </c>
      <c r="H31" s="28">
        <v>1</v>
      </c>
      <c r="I31" s="29">
        <f>435.89*0.1</f>
        <v>43.588999999999999</v>
      </c>
    </row>
    <row r="32" spans="2:18" x14ac:dyDescent="0.3">
      <c r="B32" s="124" t="s">
        <v>108</v>
      </c>
      <c r="C32" s="125"/>
      <c r="D32" s="125"/>
      <c r="E32" s="125"/>
      <c r="F32" s="125"/>
      <c r="G32" s="125"/>
      <c r="H32" s="126"/>
      <c r="I32" s="44">
        <f>SUM(I29:I31)</f>
        <v>1439.3056999999999</v>
      </c>
    </row>
    <row r="33" spans="2:9" x14ac:dyDescent="0.3">
      <c r="B33" s="121" t="s">
        <v>110</v>
      </c>
      <c r="C33" s="122"/>
      <c r="D33" s="122"/>
      <c r="E33" s="122"/>
      <c r="F33" s="122"/>
      <c r="G33" s="122"/>
      <c r="H33" s="122"/>
      <c r="I33" s="123"/>
    </row>
    <row r="34" spans="2:9" ht="26.4" x14ac:dyDescent="0.3">
      <c r="B34" s="22">
        <v>1</v>
      </c>
      <c r="C34" s="23" t="s">
        <v>113</v>
      </c>
      <c r="D34" s="130" t="s">
        <v>30</v>
      </c>
      <c r="E34" s="131"/>
      <c r="F34" s="27" t="s">
        <v>28</v>
      </c>
      <c r="G34" s="28" t="s">
        <v>29</v>
      </c>
      <c r="H34" s="28">
        <v>435.89</v>
      </c>
      <c r="I34" s="29">
        <f>H34*2.7</f>
        <v>1176.903</v>
      </c>
    </row>
    <row r="35" spans="2:9" ht="26.4" x14ac:dyDescent="0.3">
      <c r="B35" s="22">
        <v>2</v>
      </c>
      <c r="C35" s="23" t="s">
        <v>113</v>
      </c>
      <c r="D35" s="130" t="s">
        <v>30</v>
      </c>
      <c r="E35" s="131"/>
      <c r="F35" s="27" t="s">
        <v>32</v>
      </c>
      <c r="G35" s="28" t="s">
        <v>31</v>
      </c>
      <c r="H35" s="28">
        <v>1</v>
      </c>
      <c r="I35" s="29">
        <f>(7852.75*1.8%)+(7853.73*1.5%)</f>
        <v>259.15544999999997</v>
      </c>
    </row>
    <row r="36" spans="2:9" ht="36.75" customHeight="1" x14ac:dyDescent="0.3">
      <c r="B36" s="22">
        <v>3</v>
      </c>
      <c r="C36" s="23" t="s">
        <v>113</v>
      </c>
      <c r="D36" s="130" t="s">
        <v>30</v>
      </c>
      <c r="E36" s="131"/>
      <c r="F36" s="27" t="s">
        <v>114</v>
      </c>
      <c r="G36" s="28" t="s">
        <v>101</v>
      </c>
      <c r="H36" s="28">
        <v>1</v>
      </c>
      <c r="I36" s="29">
        <v>2588</v>
      </c>
    </row>
    <row r="37" spans="2:9" ht="26.4" x14ac:dyDescent="0.3">
      <c r="B37" s="22">
        <v>4</v>
      </c>
      <c r="C37" s="23" t="s">
        <v>113</v>
      </c>
      <c r="D37" s="130" t="s">
        <v>30</v>
      </c>
      <c r="E37" s="131"/>
      <c r="F37" s="27" t="s">
        <v>115</v>
      </c>
      <c r="G37" s="28" t="s">
        <v>101</v>
      </c>
      <c r="H37" s="28">
        <v>1</v>
      </c>
      <c r="I37" s="29">
        <v>3100</v>
      </c>
    </row>
    <row r="38" spans="2:9" ht="30.75" customHeight="1" x14ac:dyDescent="0.3">
      <c r="B38" s="22">
        <v>5</v>
      </c>
      <c r="C38" s="23" t="s">
        <v>113</v>
      </c>
      <c r="D38" s="130" t="s">
        <v>30</v>
      </c>
      <c r="E38" s="131"/>
      <c r="F38" s="27" t="s">
        <v>34</v>
      </c>
      <c r="G38" s="28" t="s">
        <v>31</v>
      </c>
      <c r="H38" s="28">
        <v>1</v>
      </c>
      <c r="I38" s="29">
        <f>435.89*0.1</f>
        <v>43.588999999999999</v>
      </c>
    </row>
    <row r="39" spans="2:9" x14ac:dyDescent="0.3">
      <c r="B39" s="124" t="s">
        <v>111</v>
      </c>
      <c r="C39" s="125"/>
      <c r="D39" s="125"/>
      <c r="E39" s="125"/>
      <c r="F39" s="125"/>
      <c r="G39" s="125"/>
      <c r="H39" s="126"/>
      <c r="I39" s="44">
        <f>SUM(I34:I38)</f>
        <v>7167.6474500000004</v>
      </c>
    </row>
    <row r="40" spans="2:9" x14ac:dyDescent="0.3">
      <c r="B40" s="121" t="s">
        <v>116</v>
      </c>
      <c r="C40" s="122"/>
      <c r="D40" s="122"/>
      <c r="E40" s="122"/>
      <c r="F40" s="122"/>
      <c r="G40" s="122"/>
      <c r="H40" s="122"/>
      <c r="I40" s="123"/>
    </row>
    <row r="41" spans="2:9" ht="26.4" x14ac:dyDescent="0.3">
      <c r="B41" s="22">
        <v>1</v>
      </c>
      <c r="C41" s="23" t="s">
        <v>118</v>
      </c>
      <c r="D41" s="130" t="s">
        <v>30</v>
      </c>
      <c r="E41" s="131"/>
      <c r="F41" s="27" t="s">
        <v>28</v>
      </c>
      <c r="G41" s="28" t="s">
        <v>29</v>
      </c>
      <c r="H41" s="28">
        <v>435.89</v>
      </c>
      <c r="I41" s="29">
        <f>H41*2.7</f>
        <v>1176.903</v>
      </c>
    </row>
    <row r="42" spans="2:9" ht="26.4" x14ac:dyDescent="0.3">
      <c r="B42" s="22">
        <v>2</v>
      </c>
      <c r="C42" s="23" t="s">
        <v>118</v>
      </c>
      <c r="D42" s="130" t="s">
        <v>30</v>
      </c>
      <c r="E42" s="131"/>
      <c r="F42" s="27" t="s">
        <v>32</v>
      </c>
      <c r="G42" s="28" t="s">
        <v>31</v>
      </c>
      <c r="H42" s="28">
        <v>1</v>
      </c>
      <c r="I42" s="29">
        <f>(7764.06*1.8%)+(6957.28*1.5%)</f>
        <v>244.11228</v>
      </c>
    </row>
    <row r="43" spans="2:9" ht="36.75" customHeight="1" x14ac:dyDescent="0.3">
      <c r="B43" s="22">
        <v>3</v>
      </c>
      <c r="C43" s="23" t="s">
        <v>118</v>
      </c>
      <c r="D43" s="130" t="s">
        <v>30</v>
      </c>
      <c r="E43" s="131"/>
      <c r="F43" s="27" t="s">
        <v>119</v>
      </c>
      <c r="G43" s="28" t="s">
        <v>101</v>
      </c>
      <c r="H43" s="28">
        <v>1</v>
      </c>
      <c r="I43" s="29">
        <v>8000</v>
      </c>
    </row>
    <row r="44" spans="2:9" ht="30.75" customHeight="1" x14ac:dyDescent="0.3">
      <c r="B44" s="22">
        <v>4</v>
      </c>
      <c r="C44" s="23" t="s">
        <v>118</v>
      </c>
      <c r="D44" s="130" t="s">
        <v>30</v>
      </c>
      <c r="E44" s="131"/>
      <c r="F44" s="27" t="s">
        <v>34</v>
      </c>
      <c r="G44" s="28" t="s">
        <v>31</v>
      </c>
      <c r="H44" s="28">
        <v>1</v>
      </c>
      <c r="I44" s="29">
        <f>435.89*0.1</f>
        <v>43.588999999999999</v>
      </c>
    </row>
    <row r="45" spans="2:9" x14ac:dyDescent="0.3">
      <c r="B45" s="124" t="s">
        <v>117</v>
      </c>
      <c r="C45" s="125"/>
      <c r="D45" s="125"/>
      <c r="E45" s="125"/>
      <c r="F45" s="125"/>
      <c r="G45" s="125"/>
      <c r="H45" s="126"/>
      <c r="I45" s="44">
        <f>SUM(I41:I44)</f>
        <v>9464.6042799999996</v>
      </c>
    </row>
    <row r="46" spans="2:9" x14ac:dyDescent="0.3">
      <c r="B46" s="121" t="s">
        <v>120</v>
      </c>
      <c r="C46" s="122"/>
      <c r="D46" s="122"/>
      <c r="E46" s="122"/>
      <c r="F46" s="122"/>
      <c r="G46" s="122"/>
      <c r="H46" s="122"/>
      <c r="I46" s="123"/>
    </row>
    <row r="47" spans="2:9" ht="26.4" x14ac:dyDescent="0.3">
      <c r="B47" s="22">
        <v>1</v>
      </c>
      <c r="C47" s="23" t="s">
        <v>122</v>
      </c>
      <c r="D47" s="130" t="s">
        <v>30</v>
      </c>
      <c r="E47" s="131"/>
      <c r="F47" s="27" t="s">
        <v>28</v>
      </c>
      <c r="G47" s="28" t="s">
        <v>29</v>
      </c>
      <c r="H47" s="28">
        <v>435.89</v>
      </c>
      <c r="I47" s="29">
        <f>H47*2.7</f>
        <v>1176.903</v>
      </c>
    </row>
    <row r="48" spans="2:9" ht="26.4" x14ac:dyDescent="0.3">
      <c r="B48" s="22">
        <v>2</v>
      </c>
      <c r="C48" s="23" t="s">
        <v>122</v>
      </c>
      <c r="D48" s="130" t="s">
        <v>30</v>
      </c>
      <c r="E48" s="131"/>
      <c r="F48" s="27" t="s">
        <v>32</v>
      </c>
      <c r="G48" s="28" t="s">
        <v>31</v>
      </c>
      <c r="H48" s="28">
        <v>1</v>
      </c>
      <c r="I48" s="29">
        <f>(7793.05*1.8%)+(5976.41 *1.5%)</f>
        <v>229.92105000000004</v>
      </c>
    </row>
    <row r="49" spans="2:9" ht="30.75" customHeight="1" x14ac:dyDescent="0.3">
      <c r="B49" s="22">
        <v>3</v>
      </c>
      <c r="C49" s="23" t="s">
        <v>122</v>
      </c>
      <c r="D49" s="130" t="s">
        <v>30</v>
      </c>
      <c r="E49" s="131"/>
      <c r="F49" s="27" t="s">
        <v>34</v>
      </c>
      <c r="G49" s="28" t="s">
        <v>31</v>
      </c>
      <c r="H49" s="28">
        <v>1</v>
      </c>
      <c r="I49" s="29">
        <f>435.89*0.1</f>
        <v>43.588999999999999</v>
      </c>
    </row>
    <row r="50" spans="2:9" x14ac:dyDescent="0.3">
      <c r="B50" s="124" t="s">
        <v>121</v>
      </c>
      <c r="C50" s="125"/>
      <c r="D50" s="125"/>
      <c r="E50" s="125"/>
      <c r="F50" s="125"/>
      <c r="G50" s="125"/>
      <c r="H50" s="126"/>
      <c r="I50" s="44">
        <f>SUM(I47:I49)</f>
        <v>1450.4130500000001</v>
      </c>
    </row>
    <row r="51" spans="2:9" x14ac:dyDescent="0.3">
      <c r="B51" s="121" t="s">
        <v>123</v>
      </c>
      <c r="C51" s="122"/>
      <c r="D51" s="122"/>
      <c r="E51" s="122"/>
      <c r="F51" s="122"/>
      <c r="G51" s="122"/>
      <c r="H51" s="122"/>
      <c r="I51" s="123"/>
    </row>
    <row r="52" spans="2:9" ht="26.4" x14ac:dyDescent="0.3">
      <c r="B52" s="22">
        <v>1</v>
      </c>
      <c r="C52" s="23" t="s">
        <v>125</v>
      </c>
      <c r="D52" s="130" t="s">
        <v>30</v>
      </c>
      <c r="E52" s="131"/>
      <c r="F52" s="27" t="s">
        <v>28</v>
      </c>
      <c r="G52" s="28" t="s">
        <v>29</v>
      </c>
      <c r="H52" s="28">
        <v>435.89</v>
      </c>
      <c r="I52" s="29">
        <f>H52*2.7</f>
        <v>1176.903</v>
      </c>
    </row>
    <row r="53" spans="2:9" ht="26.4" x14ac:dyDescent="0.3">
      <c r="B53" s="22">
        <v>2</v>
      </c>
      <c r="C53" s="23" t="s">
        <v>125</v>
      </c>
      <c r="D53" s="130" t="s">
        <v>30</v>
      </c>
      <c r="E53" s="131"/>
      <c r="F53" s="27" t="s">
        <v>32</v>
      </c>
      <c r="G53" s="28" t="s">
        <v>31</v>
      </c>
      <c r="H53" s="28">
        <v>1</v>
      </c>
      <c r="I53" s="29">
        <f>(7793.05*1.8%)+(8711.08 *1.5%)</f>
        <v>270.94110000000001</v>
      </c>
    </row>
    <row r="54" spans="2:9" ht="30.75" customHeight="1" x14ac:dyDescent="0.3">
      <c r="B54" s="22">
        <v>4</v>
      </c>
      <c r="C54" s="23" t="s">
        <v>125</v>
      </c>
      <c r="D54" s="130" t="s">
        <v>30</v>
      </c>
      <c r="E54" s="131"/>
      <c r="F54" s="27" t="s">
        <v>34</v>
      </c>
      <c r="G54" s="28" t="s">
        <v>31</v>
      </c>
      <c r="H54" s="28">
        <v>1</v>
      </c>
      <c r="I54" s="29">
        <f>435.89*0.1</f>
        <v>43.588999999999999</v>
      </c>
    </row>
    <row r="55" spans="2:9" x14ac:dyDescent="0.3">
      <c r="B55" s="124" t="s">
        <v>124</v>
      </c>
      <c r="C55" s="125"/>
      <c r="D55" s="125"/>
      <c r="E55" s="125"/>
      <c r="F55" s="125"/>
      <c r="G55" s="125"/>
      <c r="H55" s="126"/>
      <c r="I55" s="44">
        <f>SUM(I52:I54)</f>
        <v>1491.4331</v>
      </c>
    </row>
    <row r="56" spans="2:9" x14ac:dyDescent="0.3">
      <c r="B56" s="121" t="s">
        <v>127</v>
      </c>
      <c r="C56" s="122"/>
      <c r="D56" s="122"/>
      <c r="E56" s="122"/>
      <c r="F56" s="122"/>
      <c r="G56" s="122"/>
      <c r="H56" s="122"/>
      <c r="I56" s="123"/>
    </row>
    <row r="57" spans="2:9" ht="26.4" x14ac:dyDescent="0.3">
      <c r="B57" s="22">
        <v>1</v>
      </c>
      <c r="C57" s="23" t="s">
        <v>129</v>
      </c>
      <c r="D57" s="130" t="s">
        <v>30</v>
      </c>
      <c r="E57" s="131"/>
      <c r="F57" s="27" t="s">
        <v>28</v>
      </c>
      <c r="G57" s="28" t="s">
        <v>29</v>
      </c>
      <c r="H57" s="28">
        <v>435.89</v>
      </c>
      <c r="I57" s="29">
        <f>H57*2.7</f>
        <v>1176.903</v>
      </c>
    </row>
    <row r="58" spans="2:9" ht="26.4" x14ac:dyDescent="0.3">
      <c r="B58" s="22">
        <v>2</v>
      </c>
      <c r="C58" s="23" t="s">
        <v>129</v>
      </c>
      <c r="D58" s="130" t="s">
        <v>30</v>
      </c>
      <c r="E58" s="131"/>
      <c r="F58" s="27" t="s">
        <v>32</v>
      </c>
      <c r="G58" s="28" t="s">
        <v>31</v>
      </c>
      <c r="H58" s="28">
        <v>1</v>
      </c>
      <c r="I58" s="29">
        <f>(7793.05*1.8%)+(9546.06 *1.5%)</f>
        <v>283.46580000000006</v>
      </c>
    </row>
    <row r="59" spans="2:9" ht="26.4" x14ac:dyDescent="0.3">
      <c r="B59" s="22">
        <v>3</v>
      </c>
      <c r="C59" s="23" t="s">
        <v>129</v>
      </c>
      <c r="D59" s="130" t="s">
        <v>30</v>
      </c>
      <c r="E59" s="131"/>
      <c r="F59" s="27" t="s">
        <v>115</v>
      </c>
      <c r="G59" s="28" t="s">
        <v>101</v>
      </c>
      <c r="H59" s="28">
        <v>1</v>
      </c>
      <c r="I59" s="29">
        <v>2160</v>
      </c>
    </row>
    <row r="60" spans="2:9" ht="30.75" customHeight="1" x14ac:dyDescent="0.3">
      <c r="B60" s="22">
        <v>4</v>
      </c>
      <c r="C60" s="23" t="s">
        <v>129</v>
      </c>
      <c r="D60" s="130" t="s">
        <v>30</v>
      </c>
      <c r="E60" s="131"/>
      <c r="F60" s="27" t="s">
        <v>34</v>
      </c>
      <c r="G60" s="28" t="s">
        <v>31</v>
      </c>
      <c r="H60" s="28">
        <v>1</v>
      </c>
      <c r="I60" s="29">
        <f>435.89*0.1</f>
        <v>43.588999999999999</v>
      </c>
    </row>
    <row r="61" spans="2:9" x14ac:dyDescent="0.3">
      <c r="B61" s="124" t="s">
        <v>128</v>
      </c>
      <c r="C61" s="125"/>
      <c r="D61" s="125"/>
      <c r="E61" s="125"/>
      <c r="F61" s="125"/>
      <c r="G61" s="125"/>
      <c r="H61" s="126"/>
      <c r="I61" s="44">
        <f>SUM(I57:I60)</f>
        <v>3663.9578000000001</v>
      </c>
    </row>
    <row r="62" spans="2:9" x14ac:dyDescent="0.3">
      <c r="B62" s="121" t="s">
        <v>130</v>
      </c>
      <c r="C62" s="122"/>
      <c r="D62" s="122"/>
      <c r="E62" s="122"/>
      <c r="F62" s="122"/>
      <c r="G62" s="122"/>
      <c r="H62" s="122"/>
      <c r="I62" s="123"/>
    </row>
    <row r="63" spans="2:9" ht="26.4" x14ac:dyDescent="0.3">
      <c r="B63" s="22">
        <v>1</v>
      </c>
      <c r="C63" s="23" t="s">
        <v>132</v>
      </c>
      <c r="D63" s="130" t="s">
        <v>30</v>
      </c>
      <c r="E63" s="131"/>
      <c r="F63" s="27" t="s">
        <v>28</v>
      </c>
      <c r="G63" s="28" t="s">
        <v>29</v>
      </c>
      <c r="H63" s="28">
        <v>435.89</v>
      </c>
      <c r="I63" s="29">
        <f>H63*2.7</f>
        <v>1176.903</v>
      </c>
    </row>
    <row r="64" spans="2:9" ht="26.4" x14ac:dyDescent="0.3">
      <c r="B64" s="22">
        <v>2</v>
      </c>
      <c r="C64" s="23" t="s">
        <v>132</v>
      </c>
      <c r="D64" s="130" t="s">
        <v>30</v>
      </c>
      <c r="E64" s="131"/>
      <c r="F64" s="27" t="s">
        <v>32</v>
      </c>
      <c r="G64" s="28" t="s">
        <v>31</v>
      </c>
      <c r="H64" s="28">
        <v>1</v>
      </c>
      <c r="I64" s="29">
        <f>(7793.05*1.8%)+(6044.34 *1.5%)</f>
        <v>230.94000000000003</v>
      </c>
    </row>
    <row r="65" spans="2:9" x14ac:dyDescent="0.3">
      <c r="B65" s="22">
        <v>3</v>
      </c>
      <c r="C65" s="23" t="s">
        <v>132</v>
      </c>
      <c r="D65" s="130" t="s">
        <v>30</v>
      </c>
      <c r="E65" s="131"/>
      <c r="F65" s="27" t="s">
        <v>133</v>
      </c>
      <c r="G65" s="28" t="s">
        <v>101</v>
      </c>
      <c r="H65" s="28">
        <v>1</v>
      </c>
      <c r="I65" s="29">
        <v>2000</v>
      </c>
    </row>
    <row r="66" spans="2:9" x14ac:dyDescent="0.3">
      <c r="B66" s="22">
        <v>4</v>
      </c>
      <c r="C66" s="23" t="s">
        <v>132</v>
      </c>
      <c r="D66" s="130" t="s">
        <v>30</v>
      </c>
      <c r="E66" s="131"/>
      <c r="F66" s="27" t="s">
        <v>134</v>
      </c>
      <c r="G66" s="28" t="s">
        <v>101</v>
      </c>
      <c r="H66" s="28">
        <v>1</v>
      </c>
      <c r="I66" s="29">
        <v>1000</v>
      </c>
    </row>
    <row r="67" spans="2:9" ht="30.75" customHeight="1" x14ac:dyDescent="0.3">
      <c r="B67" s="22">
        <v>5</v>
      </c>
      <c r="C67" s="23" t="s">
        <v>132</v>
      </c>
      <c r="D67" s="130" t="s">
        <v>30</v>
      </c>
      <c r="E67" s="131"/>
      <c r="F67" s="27" t="s">
        <v>34</v>
      </c>
      <c r="G67" s="28" t="s">
        <v>31</v>
      </c>
      <c r="H67" s="28">
        <v>1</v>
      </c>
      <c r="I67" s="29">
        <f>435.89*0.1</f>
        <v>43.588999999999999</v>
      </c>
    </row>
    <row r="68" spans="2:9" x14ac:dyDescent="0.3">
      <c r="B68" s="124" t="s">
        <v>131</v>
      </c>
      <c r="C68" s="125"/>
      <c r="D68" s="125"/>
      <c r="E68" s="125"/>
      <c r="F68" s="125"/>
      <c r="G68" s="125"/>
      <c r="H68" s="126"/>
      <c r="I68" s="44">
        <f>SUM(I63:I67)</f>
        <v>4451.4319999999998</v>
      </c>
    </row>
    <row r="69" spans="2:9" x14ac:dyDescent="0.3">
      <c r="B69" s="121" t="s">
        <v>135</v>
      </c>
      <c r="C69" s="122"/>
      <c r="D69" s="122"/>
      <c r="E69" s="122"/>
      <c r="F69" s="122"/>
      <c r="G69" s="122"/>
      <c r="H69" s="122"/>
      <c r="I69" s="123"/>
    </row>
    <row r="70" spans="2:9" ht="26.4" x14ac:dyDescent="0.3">
      <c r="B70" s="22">
        <v>1</v>
      </c>
      <c r="C70" s="23" t="s">
        <v>140</v>
      </c>
      <c r="D70" s="130" t="s">
        <v>30</v>
      </c>
      <c r="E70" s="131"/>
      <c r="F70" s="27" t="s">
        <v>28</v>
      </c>
      <c r="G70" s="28" t="s">
        <v>29</v>
      </c>
      <c r="H70" s="28">
        <v>435.89</v>
      </c>
      <c r="I70" s="29">
        <f>H70*2.7</f>
        <v>1176.903</v>
      </c>
    </row>
    <row r="71" spans="2:9" ht="26.4" x14ac:dyDescent="0.3">
      <c r="B71" s="22">
        <v>2</v>
      </c>
      <c r="C71" s="23" t="s">
        <v>140</v>
      </c>
      <c r="D71" s="130" t="s">
        <v>30</v>
      </c>
      <c r="E71" s="131"/>
      <c r="F71" s="27" t="s">
        <v>32</v>
      </c>
      <c r="G71" s="28" t="s">
        <v>31</v>
      </c>
      <c r="H71" s="28">
        <v>1</v>
      </c>
      <c r="I71" s="29">
        <f>(7793.05*1.8%)+(6885.73 *1.5%)</f>
        <v>243.56085000000002</v>
      </c>
    </row>
    <row r="72" spans="2:9" ht="30.75" customHeight="1" x14ac:dyDescent="0.3">
      <c r="B72" s="22">
        <v>3</v>
      </c>
      <c r="C72" s="23" t="s">
        <v>140</v>
      </c>
      <c r="D72" s="130" t="s">
        <v>30</v>
      </c>
      <c r="E72" s="131"/>
      <c r="F72" s="27" t="s">
        <v>34</v>
      </c>
      <c r="G72" s="28" t="s">
        <v>31</v>
      </c>
      <c r="H72" s="28">
        <v>1</v>
      </c>
      <c r="I72" s="29">
        <f>435.89*0.1</f>
        <v>43.588999999999999</v>
      </c>
    </row>
    <row r="73" spans="2:9" x14ac:dyDescent="0.3">
      <c r="B73" s="124" t="s">
        <v>136</v>
      </c>
      <c r="C73" s="125"/>
      <c r="D73" s="125"/>
      <c r="E73" s="125"/>
      <c r="F73" s="125"/>
      <c r="G73" s="125"/>
      <c r="H73" s="126"/>
      <c r="I73" s="44">
        <f>SUM(I70:I72)</f>
        <v>1464.05285</v>
      </c>
    </row>
    <row r="74" spans="2:9" x14ac:dyDescent="0.3">
      <c r="B74" s="121" t="s">
        <v>138</v>
      </c>
      <c r="C74" s="122"/>
      <c r="D74" s="122"/>
      <c r="E74" s="122"/>
      <c r="F74" s="122"/>
      <c r="G74" s="122"/>
      <c r="H74" s="122"/>
      <c r="I74" s="123"/>
    </row>
    <row r="75" spans="2:9" ht="26.4" x14ac:dyDescent="0.3">
      <c r="B75" s="22">
        <v>1</v>
      </c>
      <c r="C75" s="23" t="s">
        <v>141</v>
      </c>
      <c r="D75" s="130" t="s">
        <v>30</v>
      </c>
      <c r="E75" s="131"/>
      <c r="F75" s="27" t="s">
        <v>28</v>
      </c>
      <c r="G75" s="28" t="s">
        <v>29</v>
      </c>
      <c r="H75" s="28">
        <v>435.89</v>
      </c>
      <c r="I75" s="29">
        <f>H75*2.7</f>
        <v>1176.903</v>
      </c>
    </row>
    <row r="76" spans="2:9" ht="26.4" x14ac:dyDescent="0.3">
      <c r="B76" s="22">
        <v>2</v>
      </c>
      <c r="C76" s="23" t="s">
        <v>141</v>
      </c>
      <c r="D76" s="130" t="s">
        <v>30</v>
      </c>
      <c r="E76" s="131"/>
      <c r="F76" s="27" t="s">
        <v>32</v>
      </c>
      <c r="G76" s="28" t="s">
        <v>31</v>
      </c>
      <c r="H76" s="28">
        <v>1</v>
      </c>
      <c r="I76" s="29">
        <f>(7793.05*1.8%)+(9280.29 *1.5%)</f>
        <v>279.47925000000004</v>
      </c>
    </row>
    <row r="77" spans="2:9" x14ac:dyDescent="0.3">
      <c r="B77" s="22">
        <v>3</v>
      </c>
      <c r="C77" s="23" t="s">
        <v>141</v>
      </c>
      <c r="D77" s="130" t="s">
        <v>30</v>
      </c>
      <c r="E77" s="131"/>
      <c r="F77" s="27" t="s">
        <v>142</v>
      </c>
      <c r="G77" s="28" t="s">
        <v>101</v>
      </c>
      <c r="H77" s="28">
        <v>1</v>
      </c>
      <c r="I77" s="29">
        <v>2400</v>
      </c>
    </row>
    <row r="78" spans="2:9" ht="26.4" x14ac:dyDescent="0.3">
      <c r="B78" s="22">
        <v>4</v>
      </c>
      <c r="C78" s="23" t="s">
        <v>141</v>
      </c>
      <c r="D78" s="130" t="s">
        <v>30</v>
      </c>
      <c r="E78" s="131"/>
      <c r="F78" s="27" t="s">
        <v>115</v>
      </c>
      <c r="G78" s="28" t="s">
        <v>101</v>
      </c>
      <c r="H78" s="28">
        <v>1</v>
      </c>
      <c r="I78" s="29">
        <v>2160</v>
      </c>
    </row>
    <row r="79" spans="2:9" ht="30.75" customHeight="1" x14ac:dyDescent="0.3">
      <c r="B79" s="22">
        <v>5</v>
      </c>
      <c r="C79" s="23" t="s">
        <v>141</v>
      </c>
      <c r="D79" s="130" t="s">
        <v>30</v>
      </c>
      <c r="E79" s="131"/>
      <c r="F79" s="27" t="s">
        <v>34</v>
      </c>
      <c r="G79" s="28" t="s">
        <v>31</v>
      </c>
      <c r="H79" s="28">
        <v>1</v>
      </c>
      <c r="I79" s="29">
        <f>435.89*0.1</f>
        <v>43.588999999999999</v>
      </c>
    </row>
    <row r="80" spans="2:9" x14ac:dyDescent="0.3">
      <c r="B80" s="124" t="s">
        <v>139</v>
      </c>
      <c r="C80" s="125"/>
      <c r="D80" s="125"/>
      <c r="E80" s="125"/>
      <c r="F80" s="125"/>
      <c r="G80" s="125"/>
      <c r="H80" s="126"/>
      <c r="I80" s="44">
        <f>SUM(I75:I79)</f>
        <v>6059.9712500000005</v>
      </c>
    </row>
    <row r="81" spans="2:9" ht="15.6" x14ac:dyDescent="0.3">
      <c r="B81" s="127" t="s">
        <v>143</v>
      </c>
      <c r="C81" s="128"/>
      <c r="D81" s="128"/>
      <c r="E81" s="128"/>
      <c r="F81" s="128"/>
      <c r="G81" s="128"/>
      <c r="H81" s="129"/>
      <c r="I81" s="34">
        <f>I14+I20+I27+I32+I39+I45+I50+I55+I61+I68+I73+I80</f>
        <v>44683.329469999997</v>
      </c>
    </row>
    <row r="82" spans="2:9" x14ac:dyDescent="0.3">
      <c r="B82" s="24"/>
      <c r="C82" s="24"/>
      <c r="D82" s="25"/>
      <c r="E82" s="25"/>
      <c r="F82" s="25"/>
      <c r="G82" s="25"/>
      <c r="H82" s="25"/>
      <c r="I82" s="26"/>
    </row>
    <row r="83" spans="2:9" x14ac:dyDescent="0.3">
      <c r="B83" s="17"/>
      <c r="C83" s="17"/>
      <c r="D83" s="17"/>
      <c r="E83" s="17"/>
      <c r="F83" s="17"/>
      <c r="G83" s="17"/>
      <c r="H83" s="17"/>
      <c r="I83" s="17"/>
    </row>
    <row r="84" spans="2:9" ht="29.25" customHeight="1" x14ac:dyDescent="0.3">
      <c r="B84" s="115"/>
      <c r="C84" s="115"/>
      <c r="D84" s="115"/>
      <c r="E84" s="115"/>
      <c r="F84" s="115"/>
      <c r="G84" s="115"/>
      <c r="H84" s="115"/>
      <c r="I84" s="115"/>
    </row>
    <row r="85" spans="2:9" ht="14.4" x14ac:dyDescent="0.3">
      <c r="B85" s="58"/>
      <c r="C85" s="58"/>
      <c r="D85" s="58"/>
      <c r="E85" s="58"/>
    </row>
    <row r="86" spans="2:9" ht="14.4" x14ac:dyDescent="0.3">
      <c r="B86" s="59"/>
      <c r="C86" s="59"/>
      <c r="D86" s="59"/>
      <c r="E86" s="59"/>
      <c r="G86" s="59"/>
      <c r="H86" s="59"/>
      <c r="I86" s="59"/>
    </row>
  </sheetData>
  <mergeCells count="83">
    <mergeCell ref="D76:E76"/>
    <mergeCell ref="D77:E77"/>
    <mergeCell ref="D78:E78"/>
    <mergeCell ref="D79:E79"/>
    <mergeCell ref="B80:H80"/>
    <mergeCell ref="D72:E72"/>
    <mergeCell ref="B73:H73"/>
    <mergeCell ref="B74:I74"/>
    <mergeCell ref="D75:E75"/>
    <mergeCell ref="B69:I69"/>
    <mergeCell ref="D70:E70"/>
    <mergeCell ref="D71:E71"/>
    <mergeCell ref="D63:E63"/>
    <mergeCell ref="D64:E64"/>
    <mergeCell ref="D67:E67"/>
    <mergeCell ref="B68:H68"/>
    <mergeCell ref="D65:E65"/>
    <mergeCell ref="D66:E66"/>
    <mergeCell ref="D58:E58"/>
    <mergeCell ref="D60:E60"/>
    <mergeCell ref="B61:H61"/>
    <mergeCell ref="D59:E59"/>
    <mergeCell ref="B62:I62"/>
    <mergeCell ref="D54:E54"/>
    <mergeCell ref="B55:H55"/>
    <mergeCell ref="B56:I56"/>
    <mergeCell ref="D57:E57"/>
    <mergeCell ref="D49:E49"/>
    <mergeCell ref="B50:H50"/>
    <mergeCell ref="B51:I51"/>
    <mergeCell ref="D52:E52"/>
    <mergeCell ref="D53:E53"/>
    <mergeCell ref="B45:H45"/>
    <mergeCell ref="B46:I46"/>
    <mergeCell ref="D47:E47"/>
    <mergeCell ref="D48:E48"/>
    <mergeCell ref="D41:E41"/>
    <mergeCell ref="D42:E42"/>
    <mergeCell ref="D43:E43"/>
    <mergeCell ref="D44:E44"/>
    <mergeCell ref="D36:E36"/>
    <mergeCell ref="D37:E37"/>
    <mergeCell ref="D38:E38"/>
    <mergeCell ref="B39:H39"/>
    <mergeCell ref="B40:I40"/>
    <mergeCell ref="D31:E31"/>
    <mergeCell ref="B32:H32"/>
    <mergeCell ref="B33:I33"/>
    <mergeCell ref="D34:E34"/>
    <mergeCell ref="D35:E35"/>
    <mergeCell ref="B28:I28"/>
    <mergeCell ref="D29:E29"/>
    <mergeCell ref="D30:E30"/>
    <mergeCell ref="D26:E26"/>
    <mergeCell ref="B27:H27"/>
    <mergeCell ref="D24:E24"/>
    <mergeCell ref="D25:E25"/>
    <mergeCell ref="B20:H20"/>
    <mergeCell ref="D18:E18"/>
    <mergeCell ref="B21:I21"/>
    <mergeCell ref="D22:E22"/>
    <mergeCell ref="D23:E23"/>
    <mergeCell ref="B15:I15"/>
    <mergeCell ref="D16:E16"/>
    <mergeCell ref="D17:E17"/>
    <mergeCell ref="D19:E19"/>
    <mergeCell ref="D12:E12"/>
    <mergeCell ref="B85:E85"/>
    <mergeCell ref="B86:E86"/>
    <mergeCell ref="G86:I86"/>
    <mergeCell ref="H8:H9"/>
    <mergeCell ref="I8:I9"/>
    <mergeCell ref="B84:I84"/>
    <mergeCell ref="D8:E9"/>
    <mergeCell ref="B8:B9"/>
    <mergeCell ref="C8:C9"/>
    <mergeCell ref="F8:F9"/>
    <mergeCell ref="G8:G9"/>
    <mergeCell ref="B10:I10"/>
    <mergeCell ref="B14:H14"/>
    <mergeCell ref="B81:H81"/>
    <mergeCell ref="D13:E13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6"/>
  <sheetViews>
    <sheetView topLeftCell="A16" zoomScaleNormal="100" workbookViewId="0">
      <selection activeCell="B24" sqref="B24:I29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18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33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73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94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62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19</v>
      </c>
      <c r="I7" s="21">
        <f ca="1">TODAY()</f>
        <v>45015</v>
      </c>
    </row>
    <row r="8" spans="2:10" ht="12.75" customHeight="1" x14ac:dyDescent="0.3">
      <c r="B8" s="118" t="s">
        <v>20</v>
      </c>
      <c r="C8" s="111" t="s">
        <v>27</v>
      </c>
      <c r="D8" s="116" t="s">
        <v>21</v>
      </c>
      <c r="E8" s="113"/>
      <c r="F8" s="111" t="s">
        <v>22</v>
      </c>
      <c r="G8" s="111" t="s">
        <v>23</v>
      </c>
      <c r="H8" s="111" t="s">
        <v>24</v>
      </c>
      <c r="I8" s="113" t="s">
        <v>26</v>
      </c>
    </row>
    <row r="9" spans="2:10" ht="24" customHeight="1" x14ac:dyDescent="0.3">
      <c r="B9" s="119"/>
      <c r="C9" s="112"/>
      <c r="D9" s="117"/>
      <c r="E9" s="114"/>
      <c r="F9" s="120"/>
      <c r="G9" s="120"/>
      <c r="H9" s="112"/>
      <c r="I9" s="114"/>
    </row>
    <row r="10" spans="2:10" x14ac:dyDescent="0.3">
      <c r="B10" s="121" t="s">
        <v>103</v>
      </c>
      <c r="C10" s="122"/>
      <c r="D10" s="122"/>
      <c r="E10" s="122"/>
      <c r="F10" s="122"/>
      <c r="G10" s="122"/>
      <c r="H10" s="122"/>
      <c r="I10" s="123"/>
    </row>
    <row r="11" spans="2:10" ht="26.4" x14ac:dyDescent="0.3">
      <c r="B11" s="22">
        <v>1</v>
      </c>
      <c r="C11" s="23" t="s">
        <v>109</v>
      </c>
      <c r="D11" s="130" t="s">
        <v>30</v>
      </c>
      <c r="E11" s="131"/>
      <c r="F11" s="27" t="s">
        <v>105</v>
      </c>
      <c r="G11" s="28" t="s">
        <v>101</v>
      </c>
      <c r="H11" s="28">
        <v>1</v>
      </c>
      <c r="I11" s="29">
        <v>850</v>
      </c>
    </row>
    <row r="12" spans="2:10" x14ac:dyDescent="0.3">
      <c r="B12" s="124" t="s">
        <v>104</v>
      </c>
      <c r="C12" s="125"/>
      <c r="D12" s="125"/>
      <c r="E12" s="125"/>
      <c r="F12" s="125"/>
      <c r="G12" s="125"/>
      <c r="H12" s="126"/>
      <c r="I12" s="44">
        <f>SUM(I11:I11)</f>
        <v>850</v>
      </c>
    </row>
    <row r="13" spans="2:10" x14ac:dyDescent="0.3">
      <c r="B13" s="121" t="s">
        <v>123</v>
      </c>
      <c r="C13" s="122"/>
      <c r="D13" s="122"/>
      <c r="E13" s="122"/>
      <c r="F13" s="122"/>
      <c r="G13" s="122"/>
      <c r="H13" s="122"/>
      <c r="I13" s="123"/>
    </row>
    <row r="14" spans="2:10" ht="39.6" x14ac:dyDescent="0.3">
      <c r="B14" s="22">
        <v>1</v>
      </c>
      <c r="C14" s="23" t="s">
        <v>125</v>
      </c>
      <c r="D14" s="130" t="s">
        <v>30</v>
      </c>
      <c r="E14" s="131"/>
      <c r="F14" s="27" t="s">
        <v>126</v>
      </c>
      <c r="G14" s="28" t="s">
        <v>101</v>
      </c>
      <c r="H14" s="28">
        <v>1</v>
      </c>
      <c r="I14" s="29">
        <v>1000</v>
      </c>
    </row>
    <row r="15" spans="2:10" x14ac:dyDescent="0.3">
      <c r="B15" s="124" t="s">
        <v>124</v>
      </c>
      <c r="C15" s="125"/>
      <c r="D15" s="125"/>
      <c r="E15" s="125"/>
      <c r="F15" s="125"/>
      <c r="G15" s="125"/>
      <c r="H15" s="126"/>
      <c r="I15" s="44">
        <f>SUM(I14:I14)</f>
        <v>1000</v>
      </c>
    </row>
    <row r="16" spans="2:10" x14ac:dyDescent="0.3">
      <c r="B16" s="121" t="s">
        <v>135</v>
      </c>
      <c r="C16" s="122"/>
      <c r="D16" s="122"/>
      <c r="E16" s="122"/>
      <c r="F16" s="122"/>
      <c r="G16" s="122"/>
      <c r="H16" s="122"/>
      <c r="I16" s="123"/>
    </row>
    <row r="17" spans="2:9" ht="26.4" x14ac:dyDescent="0.3">
      <c r="B17" s="22">
        <v>1</v>
      </c>
      <c r="C17" s="23" t="s">
        <v>140</v>
      </c>
      <c r="D17" s="130" t="s">
        <v>30</v>
      </c>
      <c r="E17" s="131"/>
      <c r="F17" s="27" t="s">
        <v>137</v>
      </c>
      <c r="G17" s="28" t="s">
        <v>101</v>
      </c>
      <c r="H17" s="28">
        <v>1</v>
      </c>
      <c r="I17" s="29">
        <v>2835</v>
      </c>
    </row>
    <row r="18" spans="2:9" x14ac:dyDescent="0.3">
      <c r="B18" s="124" t="s">
        <v>136</v>
      </c>
      <c r="C18" s="125"/>
      <c r="D18" s="125"/>
      <c r="E18" s="125"/>
      <c r="F18" s="125"/>
      <c r="G18" s="125"/>
      <c r="H18" s="126"/>
      <c r="I18" s="44">
        <f>SUM(I17:I17)</f>
        <v>2835</v>
      </c>
    </row>
    <row r="19" spans="2:9" ht="15.6" x14ac:dyDescent="0.3">
      <c r="B19" s="127" t="s">
        <v>143</v>
      </c>
      <c r="C19" s="128"/>
      <c r="D19" s="128"/>
      <c r="E19" s="128"/>
      <c r="F19" s="128"/>
      <c r="G19" s="128"/>
      <c r="H19" s="129"/>
      <c r="I19" s="34">
        <f>I12+I15+I18</f>
        <v>4685</v>
      </c>
    </row>
    <row r="20" spans="2:9" x14ac:dyDescent="0.3">
      <c r="B20" s="45"/>
      <c r="C20" s="45"/>
      <c r="D20" s="45"/>
      <c r="E20" s="45"/>
      <c r="F20" s="45"/>
      <c r="G20" s="45"/>
      <c r="H20" s="45"/>
      <c r="I20" s="46"/>
    </row>
    <row r="21" spans="2:9" x14ac:dyDescent="0.3">
      <c r="B21" s="45"/>
      <c r="C21" s="45"/>
      <c r="D21" s="45"/>
      <c r="E21" s="45"/>
      <c r="F21" s="45"/>
      <c r="G21" s="45"/>
      <c r="H21" s="45"/>
      <c r="I21" s="46"/>
    </row>
    <row r="22" spans="2:9" x14ac:dyDescent="0.3">
      <c r="B22" s="45"/>
      <c r="C22" s="45"/>
      <c r="D22" s="45"/>
      <c r="E22" s="45"/>
      <c r="F22" s="45"/>
      <c r="G22" s="45"/>
      <c r="H22" s="45"/>
      <c r="I22" s="46"/>
    </row>
    <row r="23" spans="2:9" x14ac:dyDescent="0.3">
      <c r="B23" s="17"/>
      <c r="C23" s="17"/>
      <c r="D23" s="17"/>
      <c r="E23" s="17"/>
      <c r="F23" s="17"/>
      <c r="G23" s="17"/>
      <c r="H23" s="17"/>
      <c r="I23" s="17"/>
    </row>
    <row r="24" spans="2:9" ht="29.25" customHeight="1" x14ac:dyDescent="0.3">
      <c r="B24" s="115"/>
      <c r="C24" s="115"/>
      <c r="D24" s="115"/>
      <c r="E24" s="115"/>
      <c r="F24" s="115"/>
      <c r="G24" s="115"/>
      <c r="H24" s="115"/>
      <c r="I24" s="115"/>
    </row>
    <row r="25" spans="2:9" ht="14.4" x14ac:dyDescent="0.3">
      <c r="B25" s="58"/>
      <c r="C25" s="58"/>
      <c r="D25" s="58"/>
      <c r="E25" s="58"/>
    </row>
    <row r="26" spans="2:9" ht="14.4" x14ac:dyDescent="0.3">
      <c r="B26" s="59"/>
      <c r="C26" s="59"/>
      <c r="D26" s="59"/>
      <c r="E26" s="59"/>
      <c r="G26" s="59"/>
      <c r="H26" s="59"/>
      <c r="I26" s="59"/>
    </row>
  </sheetData>
  <mergeCells count="21">
    <mergeCell ref="B25:E25"/>
    <mergeCell ref="B26:E26"/>
    <mergeCell ref="G26:I26"/>
    <mergeCell ref="B18:H18"/>
    <mergeCell ref="B19:H19"/>
    <mergeCell ref="H8:H9"/>
    <mergeCell ref="I8:I9"/>
    <mergeCell ref="B24:I24"/>
    <mergeCell ref="B10:I10"/>
    <mergeCell ref="B8:B9"/>
    <mergeCell ref="C8:C9"/>
    <mergeCell ref="D8:E9"/>
    <mergeCell ref="F8:F9"/>
    <mergeCell ref="G8:G9"/>
    <mergeCell ref="D11:E11"/>
    <mergeCell ref="B12:H12"/>
    <mergeCell ref="B13:I13"/>
    <mergeCell ref="D14:E14"/>
    <mergeCell ref="B15:H15"/>
    <mergeCell ref="B16:I16"/>
    <mergeCell ref="D17:E17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1"/>
  <sheetViews>
    <sheetView tabSelected="1" showRuler="0" topLeftCell="A27" zoomScaleNormal="100" workbookViewId="0">
      <selection activeCell="N51" sqref="N51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48" t="s">
        <v>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3">
      <c r="A2" s="148" t="s">
        <v>74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x14ac:dyDescent="0.3">
      <c r="A3" s="149" t="s">
        <v>145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3">
      <c r="A4" s="97" t="s">
        <v>65</v>
      </c>
      <c r="B4" s="98"/>
      <c r="C4" s="98"/>
      <c r="D4" s="99"/>
      <c r="E4" s="97" t="s">
        <v>66</v>
      </c>
      <c r="F4" s="98"/>
      <c r="G4" s="98"/>
      <c r="H4" s="98"/>
      <c r="I4" s="99"/>
      <c r="J4" s="97" t="s">
        <v>63</v>
      </c>
      <c r="K4" s="98"/>
      <c r="L4" s="98"/>
      <c r="M4" s="99"/>
    </row>
    <row r="5" spans="1:13" x14ac:dyDescent="0.3">
      <c r="A5" s="97" t="s">
        <v>67</v>
      </c>
      <c r="B5" s="99"/>
      <c r="C5" s="97" t="s">
        <v>68</v>
      </c>
      <c r="D5" s="98"/>
      <c r="E5" s="98"/>
      <c r="F5" s="98"/>
      <c r="G5" s="98"/>
      <c r="H5" s="99"/>
      <c r="I5" s="97" t="s">
        <v>69</v>
      </c>
      <c r="J5" s="98"/>
      <c r="K5" s="98"/>
      <c r="L5" s="98"/>
      <c r="M5" s="99"/>
    </row>
    <row r="6" spans="1:13" x14ac:dyDescent="0.3">
      <c r="A6" s="89" t="s">
        <v>70</v>
      </c>
      <c r="B6" s="89"/>
      <c r="C6" s="89"/>
      <c r="D6" s="89"/>
      <c r="E6" s="89"/>
      <c r="F6" s="89"/>
      <c r="G6" s="89"/>
      <c r="H6" s="89" t="s">
        <v>58</v>
      </c>
      <c r="I6" s="89"/>
      <c r="J6" s="89"/>
      <c r="K6" s="89"/>
      <c r="L6" s="89"/>
      <c r="M6" s="89"/>
    </row>
    <row r="7" spans="1:13" x14ac:dyDescent="0.3">
      <c r="A7" s="89" t="s">
        <v>75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ht="38.25" customHeight="1" x14ac:dyDescent="0.3">
      <c r="A8" s="153" t="s">
        <v>36</v>
      </c>
      <c r="B8" s="153"/>
      <c r="C8" s="153"/>
      <c r="D8" s="153"/>
      <c r="E8" s="154" t="s">
        <v>37</v>
      </c>
      <c r="F8" s="154"/>
      <c r="G8" s="150" t="s">
        <v>38</v>
      </c>
      <c r="H8" s="151"/>
      <c r="I8" s="152"/>
      <c r="J8" s="150" t="s">
        <v>39</v>
      </c>
      <c r="K8" s="151"/>
      <c r="L8" s="152"/>
      <c r="M8" s="37" t="s">
        <v>40</v>
      </c>
    </row>
    <row r="9" spans="1:13" x14ac:dyDescent="0.3">
      <c r="A9" s="132" t="s">
        <v>41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</row>
    <row r="10" spans="1:13" x14ac:dyDescent="0.3">
      <c r="A10" s="135" t="s">
        <v>42</v>
      </c>
      <c r="B10" s="136"/>
      <c r="C10" s="136"/>
      <c r="D10" s="137"/>
      <c r="E10" s="138">
        <v>2050.89</v>
      </c>
      <c r="F10" s="139"/>
      <c r="G10" s="138">
        <v>27774.959999999999</v>
      </c>
      <c r="H10" s="140"/>
      <c r="I10" s="139"/>
      <c r="J10" s="138">
        <v>26104.52</v>
      </c>
      <c r="K10" s="140"/>
      <c r="L10" s="139"/>
      <c r="M10" s="40">
        <f>E10+G10-J10</f>
        <v>3721.3299999999981</v>
      </c>
    </row>
    <row r="11" spans="1:13" ht="14.25" customHeight="1" x14ac:dyDescent="0.3">
      <c r="A11" s="142" t="s">
        <v>43</v>
      </c>
      <c r="B11" s="143"/>
      <c r="C11" s="143"/>
      <c r="D11" s="144"/>
      <c r="E11" s="141">
        <v>2047.03</v>
      </c>
      <c r="F11" s="141"/>
      <c r="G11" s="141">
        <v>27722.76</v>
      </c>
      <c r="H11" s="141"/>
      <c r="I11" s="141"/>
      <c r="J11" s="141">
        <v>26055.47</v>
      </c>
      <c r="K11" s="141"/>
      <c r="L11" s="141"/>
      <c r="M11" s="40">
        <v>3714.32</v>
      </c>
    </row>
    <row r="12" spans="1:13" ht="21" customHeight="1" x14ac:dyDescent="0.3">
      <c r="A12" s="97" t="s">
        <v>44</v>
      </c>
      <c r="B12" s="98"/>
      <c r="C12" s="98"/>
      <c r="D12" s="99"/>
      <c r="E12" s="145">
        <f>SUM(E10:E11)</f>
        <v>4097.92</v>
      </c>
      <c r="F12" s="146"/>
      <c r="G12" s="145">
        <f>SUM(G10:G11)</f>
        <v>55497.72</v>
      </c>
      <c r="H12" s="147"/>
      <c r="I12" s="146"/>
      <c r="J12" s="97">
        <f>SUM(J10:J11)</f>
        <v>52159.990000000005</v>
      </c>
      <c r="K12" s="98"/>
      <c r="L12" s="99"/>
      <c r="M12" s="39">
        <f>SUM(M10:M11)</f>
        <v>7435.6499999999978</v>
      </c>
    </row>
    <row r="13" spans="1:13" x14ac:dyDescent="0.3">
      <c r="A13" s="89" t="s">
        <v>16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7">
        <v>1569.84</v>
      </c>
    </row>
    <row r="14" spans="1:13" x14ac:dyDescent="0.3">
      <c r="A14" s="97" t="s">
        <v>76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7">
        <v>2102.42</v>
      </c>
    </row>
    <row r="15" spans="1:13" x14ac:dyDescent="0.3">
      <c r="A15" s="97" t="s">
        <v>61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7">
        <v>266.33999999999997</v>
      </c>
    </row>
    <row r="16" spans="1:13" x14ac:dyDescent="0.3">
      <c r="A16" s="132" t="s">
        <v>45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4"/>
    </row>
    <row r="17" spans="1:13" x14ac:dyDescent="0.3">
      <c r="A17" s="168" t="s">
        <v>13</v>
      </c>
      <c r="B17" s="169"/>
      <c r="C17" s="169"/>
      <c r="D17" s="170"/>
      <c r="E17" s="138">
        <v>90.6</v>
      </c>
      <c r="F17" s="139"/>
      <c r="G17" s="138">
        <v>1270.7</v>
      </c>
      <c r="H17" s="140"/>
      <c r="I17" s="139"/>
      <c r="J17" s="171">
        <v>1186.3800000000001</v>
      </c>
      <c r="K17" s="172"/>
      <c r="L17" s="173"/>
      <c r="M17" s="40">
        <f>E17+G17-J17</f>
        <v>174.91999999999985</v>
      </c>
    </row>
    <row r="18" spans="1:13" ht="14.25" customHeight="1" x14ac:dyDescent="0.3">
      <c r="A18" s="97" t="s">
        <v>14</v>
      </c>
      <c r="B18" s="98"/>
      <c r="C18" s="98"/>
      <c r="D18" s="99"/>
      <c r="E18" s="141">
        <v>40.9</v>
      </c>
      <c r="F18" s="141"/>
      <c r="G18" s="141">
        <v>569.21</v>
      </c>
      <c r="H18" s="141"/>
      <c r="I18" s="141"/>
      <c r="J18" s="89">
        <v>531.85</v>
      </c>
      <c r="K18" s="89"/>
      <c r="L18" s="89"/>
      <c r="M18" s="39">
        <f>E18+G18-J18</f>
        <v>78.259999999999991</v>
      </c>
    </row>
    <row r="19" spans="1:13" x14ac:dyDescent="0.3">
      <c r="A19" s="97" t="s">
        <v>15</v>
      </c>
      <c r="B19" s="98"/>
      <c r="C19" s="98"/>
      <c r="D19" s="99"/>
      <c r="E19" s="141">
        <v>557.99</v>
      </c>
      <c r="F19" s="141"/>
      <c r="G19" s="97">
        <v>7115.36</v>
      </c>
      <c r="H19" s="98"/>
      <c r="I19" s="99"/>
      <c r="J19" s="97">
        <v>6706</v>
      </c>
      <c r="K19" s="98"/>
      <c r="L19" s="99"/>
      <c r="M19" s="8">
        <f>E19+G19-J19</f>
        <v>967.34999999999945</v>
      </c>
    </row>
    <row r="20" spans="1:13" ht="27.75" customHeight="1" x14ac:dyDescent="0.3">
      <c r="A20" s="142" t="s">
        <v>46</v>
      </c>
      <c r="B20" s="143"/>
      <c r="C20" s="143"/>
      <c r="D20" s="144"/>
      <c r="E20" s="141">
        <f>SUM(E17:E19)</f>
        <v>689.49</v>
      </c>
      <c r="F20" s="141"/>
      <c r="G20" s="145">
        <f>SUM(G17:G19)</f>
        <v>8955.27</v>
      </c>
      <c r="H20" s="147"/>
      <c r="I20" s="146"/>
      <c r="J20" s="97">
        <f>SUM(J17:J19)</f>
        <v>8424.23</v>
      </c>
      <c r="K20" s="98"/>
      <c r="L20" s="99"/>
      <c r="M20" s="8">
        <f>SUM(M17:M19)</f>
        <v>1220.5299999999993</v>
      </c>
    </row>
    <row r="21" spans="1:13" ht="18.75" customHeight="1" x14ac:dyDescent="0.3">
      <c r="A21" s="142" t="s">
        <v>9</v>
      </c>
      <c r="B21" s="143"/>
      <c r="C21" s="143"/>
      <c r="D21" s="143"/>
      <c r="E21" s="141"/>
      <c r="F21" s="141"/>
      <c r="G21" s="141"/>
      <c r="H21" s="141"/>
      <c r="I21" s="141"/>
      <c r="J21" s="89"/>
      <c r="K21" s="89"/>
      <c r="L21" s="89"/>
      <c r="M21" s="8">
        <f>M12+M13+M14+M15+M20</f>
        <v>12594.779999999997</v>
      </c>
    </row>
    <row r="22" spans="1:13" ht="17.25" customHeight="1" x14ac:dyDescent="0.3">
      <c r="A22" s="165" t="s">
        <v>47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</row>
    <row r="23" spans="1:13" x14ac:dyDescent="0.3">
      <c r="A23" s="6" t="s">
        <v>20</v>
      </c>
      <c r="B23" s="153" t="s">
        <v>48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63" t="s">
        <v>49</v>
      </c>
      <c r="M23" s="163"/>
    </row>
    <row r="24" spans="1:13" x14ac:dyDescent="0.3">
      <c r="A24" s="35">
        <v>1</v>
      </c>
      <c r="B24" s="164" t="s">
        <v>28</v>
      </c>
      <c r="C24" s="164"/>
      <c r="D24" s="164"/>
      <c r="E24" s="164"/>
      <c r="F24" s="164"/>
      <c r="G24" s="164"/>
      <c r="H24" s="164"/>
      <c r="I24" s="164"/>
      <c r="J24" s="164"/>
      <c r="K24" s="164"/>
      <c r="L24" s="97">
        <f>1176.9*12</f>
        <v>14122.800000000001</v>
      </c>
      <c r="M24" s="99"/>
    </row>
    <row r="25" spans="1:13" ht="15.75" customHeight="1" x14ac:dyDescent="0.3">
      <c r="A25" s="35">
        <v>2</v>
      </c>
      <c r="B25" s="164" t="s">
        <v>32</v>
      </c>
      <c r="C25" s="164"/>
      <c r="D25" s="164"/>
      <c r="E25" s="164"/>
      <c r="F25" s="164"/>
      <c r="G25" s="164"/>
      <c r="H25" s="164"/>
      <c r="I25" s="164"/>
      <c r="J25" s="164"/>
      <c r="K25" s="164"/>
      <c r="L25" s="97">
        <v>2770.86</v>
      </c>
      <c r="M25" s="99"/>
    </row>
    <row r="26" spans="1:13" ht="15.75" customHeight="1" x14ac:dyDescent="0.3">
      <c r="A26" s="35">
        <v>3</v>
      </c>
      <c r="B26" s="182" t="s">
        <v>146</v>
      </c>
      <c r="C26" s="183"/>
      <c r="D26" s="183"/>
      <c r="E26" s="183"/>
      <c r="F26" s="183"/>
      <c r="G26" s="183"/>
      <c r="H26" s="183"/>
      <c r="I26" s="183"/>
      <c r="J26" s="183"/>
      <c r="K26" s="184"/>
      <c r="L26" s="145">
        <f>'СОДЕРЖАНИЕ ЖИЛЬЯ'!I81+'РЕМОНТ ЖИЛЬЯ'!I19-L24-L25-L27</f>
        <v>31951.589469999992</v>
      </c>
      <c r="M26" s="146"/>
    </row>
    <row r="27" spans="1:13" x14ac:dyDescent="0.3">
      <c r="A27" s="35">
        <v>4</v>
      </c>
      <c r="B27" s="164" t="s">
        <v>34</v>
      </c>
      <c r="C27" s="164"/>
      <c r="D27" s="164"/>
      <c r="E27" s="164"/>
      <c r="F27" s="164"/>
      <c r="G27" s="164"/>
      <c r="H27" s="164"/>
      <c r="I27" s="164"/>
      <c r="J27" s="164"/>
      <c r="K27" s="164"/>
      <c r="L27" s="89">
        <f>43.59*12</f>
        <v>523.08000000000004</v>
      </c>
      <c r="M27" s="89"/>
    </row>
    <row r="28" spans="1:13" x14ac:dyDescent="0.3">
      <c r="A28" s="176" t="s">
        <v>50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8"/>
      <c r="L28" s="158">
        <f>SUM(L24:L27)</f>
        <v>49368.329469999997</v>
      </c>
      <c r="M28" s="159"/>
    </row>
    <row r="29" spans="1:13" x14ac:dyDescent="0.3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1"/>
      <c r="L29" s="160"/>
      <c r="M29" s="160"/>
    </row>
    <row r="30" spans="1:13" x14ac:dyDescent="0.3">
      <c r="A30" s="155" t="s">
        <v>51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  <c r="L30" s="161">
        <v>-1878.26</v>
      </c>
      <c r="M30" s="162"/>
    </row>
    <row r="31" spans="1:13" x14ac:dyDescent="0.3">
      <c r="A31" s="155" t="s">
        <v>55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7"/>
      <c r="L31" s="161">
        <f>M21</f>
        <v>12594.779999999997</v>
      </c>
      <c r="M31" s="162"/>
    </row>
    <row r="32" spans="1:13" x14ac:dyDescent="0.3">
      <c r="A32" s="155" t="s">
        <v>52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7"/>
      <c r="L32" s="188">
        <f>J12</f>
        <v>52159.990000000005</v>
      </c>
      <c r="M32" s="186"/>
    </row>
    <row r="33" spans="1:13" x14ac:dyDescent="0.3">
      <c r="A33" s="155" t="s">
        <v>53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7"/>
      <c r="L33" s="161">
        <v>49368.33</v>
      </c>
      <c r="M33" s="162"/>
    </row>
    <row r="34" spans="1:13" x14ac:dyDescent="0.3">
      <c r="A34" s="155" t="s">
        <v>54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7"/>
      <c r="L34" s="161">
        <f>L30+L32-L33</f>
        <v>913.40000000000146</v>
      </c>
      <c r="M34" s="186"/>
    </row>
    <row r="35" spans="1:13" x14ac:dyDescent="0.3">
      <c r="A35" s="36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  <row r="36" spans="1:13" x14ac:dyDescent="0.3">
      <c r="A36" s="38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5"/>
      <c r="M36" s="175"/>
    </row>
    <row r="37" spans="1:13" x14ac:dyDescent="0.3">
      <c r="A37" s="38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13" x14ac:dyDescent="0.3">
      <c r="A38" s="38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3" x14ac:dyDescent="0.3">
      <c r="A39" s="1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"/>
      <c r="M39" s="1"/>
    </row>
    <row r="40" spans="1:13" x14ac:dyDescent="0.3">
      <c r="A40" s="1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89">
    <mergeCell ref="L26:M26"/>
    <mergeCell ref="B26:K26"/>
    <mergeCell ref="A14:L14"/>
    <mergeCell ref="B39:K39"/>
    <mergeCell ref="B40:K40"/>
    <mergeCell ref="L40:M40"/>
    <mergeCell ref="A31:K31"/>
    <mergeCell ref="L31:M31"/>
    <mergeCell ref="L33:M33"/>
    <mergeCell ref="L34:M34"/>
    <mergeCell ref="L35:M35"/>
    <mergeCell ref="L36:M36"/>
    <mergeCell ref="L37:M37"/>
    <mergeCell ref="L38:M38"/>
    <mergeCell ref="L32:M32"/>
    <mergeCell ref="B35:K35"/>
    <mergeCell ref="B36:K36"/>
    <mergeCell ref="B37:K37"/>
    <mergeCell ref="B38:K38"/>
    <mergeCell ref="E19:F19"/>
    <mergeCell ref="E18:F18"/>
    <mergeCell ref="B27:K27"/>
    <mergeCell ref="A34:K34"/>
    <mergeCell ref="A28:K28"/>
    <mergeCell ref="A29:K29"/>
    <mergeCell ref="A30:K30"/>
    <mergeCell ref="A32:K32"/>
    <mergeCell ref="G20:I20"/>
    <mergeCell ref="J20:L20"/>
    <mergeCell ref="B25:K25"/>
    <mergeCell ref="L24:M24"/>
    <mergeCell ref="L25:M25"/>
    <mergeCell ref="A20:D20"/>
    <mergeCell ref="A22:M22"/>
    <mergeCell ref="A17:D17"/>
    <mergeCell ref="E17:F17"/>
    <mergeCell ref="G17:I17"/>
    <mergeCell ref="J17:L17"/>
    <mergeCell ref="E21:F21"/>
    <mergeCell ref="G21:I21"/>
    <mergeCell ref="J21:L21"/>
    <mergeCell ref="A33:K33"/>
    <mergeCell ref="L28:M28"/>
    <mergeCell ref="L29:M29"/>
    <mergeCell ref="L30:M30"/>
    <mergeCell ref="A18:D18"/>
    <mergeCell ref="G18:I18"/>
    <mergeCell ref="J18:L18"/>
    <mergeCell ref="A19:D19"/>
    <mergeCell ref="G19:I19"/>
    <mergeCell ref="J19:L19"/>
    <mergeCell ref="L27:M27"/>
    <mergeCell ref="E20:F20"/>
    <mergeCell ref="B23:K23"/>
    <mergeCell ref="L23:M23"/>
    <mergeCell ref="B24:K24"/>
    <mergeCell ref="A21:D21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H5"/>
    <mergeCell ref="I5:M5"/>
    <mergeCell ref="A7:M7"/>
    <mergeCell ref="A9:M9"/>
    <mergeCell ref="A10:D10"/>
    <mergeCell ref="E10:F10"/>
    <mergeCell ref="J12:L12"/>
    <mergeCell ref="A16:M16"/>
    <mergeCell ref="A13:L13"/>
    <mergeCell ref="G10:I10"/>
    <mergeCell ref="G11:I11"/>
    <mergeCell ref="J11:L11"/>
    <mergeCell ref="J10:L10"/>
    <mergeCell ref="A11:D11"/>
    <mergeCell ref="E11:F11"/>
    <mergeCell ref="A12:D12"/>
    <mergeCell ref="E12:F12"/>
    <mergeCell ref="G12:I12"/>
    <mergeCell ref="A15:L15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ТРАНСПОРТНАЯ 58</vt:lpstr>
      <vt:lpstr>СОДЕРЖАНИЕ ЖИЛЬЯ</vt:lpstr>
      <vt:lpstr>РЕМОНТ ЖИЛЬЯ</vt:lpstr>
      <vt:lpstr>ОТЧЕТ ТРАНСпорт 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2023-03-30T17:58:22Z</dcterms:modified>
</cp:coreProperties>
</file>