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C8715CED-11E9-42A9-A246-3E2A47CB466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Победы 148" sheetId="1" r:id="rId1"/>
    <sheet name="СОДЕРЖАНИЕ и РЕМОНТ ЖИЛЬЯ" sheetId="2" r:id="rId2"/>
    <sheet name="ОТЧЕТ Победа 148  на подпись" sheetId="4" r:id="rId3"/>
  </sheets>
  <calcPr calcId="191029" refMode="R1C1"/>
</workbook>
</file>

<file path=xl/calcChain.xml><?xml version="1.0" encoding="utf-8"?>
<calcChain xmlns="http://schemas.openxmlformats.org/spreadsheetml/2006/main">
  <c r="L26" i="4" l="1"/>
  <c r="M22" i="4"/>
  <c r="I46" i="2"/>
  <c r="I38" i="2"/>
  <c r="I25" i="2"/>
  <c r="I19" i="2"/>
  <c r="I12" i="2"/>
  <c r="N26" i="2" s="1"/>
  <c r="I14" i="2"/>
  <c r="I20" i="2" s="1"/>
  <c r="I26" i="2" s="1"/>
  <c r="I39" i="2" s="1"/>
  <c r="I47" i="2" s="1"/>
  <c r="I11" i="2"/>
  <c r="I15" i="2" l="1"/>
  <c r="K24" i="1"/>
  <c r="I24" i="1"/>
  <c r="K23" i="1"/>
  <c r="I23" i="1"/>
  <c r="K22" i="1"/>
  <c r="I22" i="1"/>
  <c r="K21" i="1"/>
  <c r="I21" i="1"/>
  <c r="M12" i="1"/>
  <c r="C13" i="1" s="1"/>
  <c r="M13" i="1" s="1"/>
  <c r="C14" i="1" s="1"/>
  <c r="M14" i="1" s="1"/>
  <c r="C15" i="1" s="1"/>
  <c r="M15" i="1" s="1"/>
  <c r="C16" i="1" s="1"/>
  <c r="I12" i="1" l="1"/>
  <c r="K12" i="1" s="1"/>
  <c r="G17" i="1"/>
  <c r="L7" i="1" s="1"/>
  <c r="E17" i="1"/>
  <c r="L6" i="1" s="1"/>
  <c r="M17" i="1" l="1"/>
  <c r="M12" i="4"/>
  <c r="G22" i="4" l="1"/>
  <c r="J22" i="4" l="1"/>
  <c r="I42" i="2"/>
  <c r="I29" i="2"/>
  <c r="I23" i="2"/>
  <c r="I17" i="2"/>
  <c r="M23" i="4" l="1"/>
  <c r="L33" i="4" s="1"/>
  <c r="J12" i="4"/>
  <c r="L34" i="4" s="1"/>
  <c r="G12" i="4"/>
  <c r="K25" i="1"/>
  <c r="I25" i="1"/>
  <c r="I48" i="2" l="1"/>
  <c r="I16" i="1" s="1"/>
  <c r="K16" i="1" s="1"/>
  <c r="I40" i="2"/>
  <c r="I15" i="1" s="1"/>
  <c r="K15" i="1" s="1"/>
  <c r="I27" i="2"/>
  <c r="I14" i="1" s="1"/>
  <c r="K14" i="1" s="1"/>
  <c r="I21" i="2"/>
  <c r="I13" i="1" l="1"/>
  <c r="K13" i="1" s="1"/>
  <c r="I49" i="2"/>
  <c r="L29" i="4" s="1"/>
  <c r="L30" i="4" s="1"/>
  <c r="L35" i="4" s="1"/>
  <c r="L36" i="4" s="1"/>
  <c r="K17" i="1"/>
  <c r="K18" i="1" s="1"/>
  <c r="M33" i="1" s="1"/>
  <c r="I17" i="1"/>
  <c r="I7" i="2" l="1"/>
  <c r="M25" i="1" l="1"/>
  <c r="M32" i="1" s="1"/>
</calcChain>
</file>

<file path=xl/sharedStrings.xml><?xml version="1.0" encoding="utf-8"?>
<sst xmlns="http://schemas.openxmlformats.org/spreadsheetml/2006/main" count="231" uniqueCount="112">
  <si>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</si>
  <si>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</si>
  <si>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</si>
  <si>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</si>
  <si>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</si>
  <si>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</si>
  <si>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</si>
  <si>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</si>
  <si>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</si>
  <si>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</si>
  <si>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</si>
  <si>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</si>
  <si>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</si>
  <si>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</si>
  <si>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</si>
  <si>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</si>
  <si>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</si>
  <si>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</si>
  <si>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</si>
  <si>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</si>
  <si>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</si>
  <si>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</si>
  <si>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</si>
  <si>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</si>
  <si>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</si>
  <si>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</si>
  <si>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</si>
  <si>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</si>
  <si>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</si>
  <si>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</si>
  <si>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</si>
  <si>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</si>
  <si>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</si>
  <si>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</si>
  <si>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</si>
  <si>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</si>
  <si>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</si>
  <si>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</si>
  <si>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</si>
  <si>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</si>
  <si>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</si>
  <si>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</si>
  <si>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</si>
  <si>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</si>
  <si>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</si>
  <si>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</si>
  <si>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</si>
  <si>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</si>
  <si>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</si>
  <si>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</si>
  <si>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>Сентябрь</t>
  </si>
  <si>
    <t>Октябрь</t>
  </si>
  <si>
    <t>Ноябрь</t>
  </si>
  <si>
    <t>усл.</t>
  </si>
  <si>
    <t>Вознаграждение председателя Совета МКД</t>
  </si>
  <si>
    <t>Начисленно средств за 2023г.</t>
  </si>
  <si>
    <t>Оплачено средств за 2023г.</t>
  </si>
  <si>
    <t>Информация за 2023г.</t>
  </si>
  <si>
    <t>Задолженность на 31.12.2023г.</t>
  </si>
  <si>
    <t>ОТЧЕТ ООО "Управляющая компания "ЮгДомКомфорт" за 2023г. перед собственниками</t>
  </si>
  <si>
    <t>30.11.2023г.</t>
  </si>
  <si>
    <t>Информационное обслуживание, раскрытие информаации на сайте ГИС ЖКХ</t>
  </si>
  <si>
    <t xml:space="preserve">ИТОГО за 2023г. </t>
  </si>
  <si>
    <t>Сентябрь 2023г.</t>
  </si>
  <si>
    <t>ИТОГО сентябрь 2023г.</t>
  </si>
  <si>
    <t>30.09.2023г.</t>
  </si>
  <si>
    <t>Октябрь 2023г.</t>
  </si>
  <si>
    <t>ИТОГО октябрь 2023г.</t>
  </si>
  <si>
    <t>31.10.2023г.</t>
  </si>
  <si>
    <t>Ноябрь 2023г.</t>
  </si>
  <si>
    <t>ИТОГО ноябрь 2023г.</t>
  </si>
  <si>
    <t>Декабрь 2023г.</t>
  </si>
  <si>
    <t>ИТОГО декабрь 2023г.</t>
  </si>
  <si>
    <t>31.12.2023г.</t>
  </si>
  <si>
    <t>Уборка придомовой территории</t>
  </si>
  <si>
    <t>ТО ВДГО</t>
  </si>
  <si>
    <t>Лицевой счет МКД по адресу: г. Таганрог, ул. Победы, д. 148</t>
  </si>
  <si>
    <t>S жилых помещений - 3141,5 м²</t>
  </si>
  <si>
    <t>Протокол №1 от 17 июня 2023г.</t>
  </si>
  <si>
    <t>Приказ ГЖИ № 1116-Л  от 05.07.23г.</t>
  </si>
  <si>
    <t>Управление многоквартирным домом - 2,27 руб.</t>
  </si>
  <si>
    <t>Содержание и ремонт общего имущества МКД -8,00 руб.</t>
  </si>
  <si>
    <t>Вознаграждение председателю МКД-2,50 руб. (статья закрыта)</t>
  </si>
  <si>
    <t>Уборка придомовой территории- 3,00 руб.</t>
  </si>
  <si>
    <t>Уборка лестниц-2,00 руб.</t>
  </si>
  <si>
    <t>Тариф -15,27 руб.</t>
  </si>
  <si>
    <t>Отчет по статье "Содержание и ремонт общего имущества МКД"</t>
  </si>
  <si>
    <t xml:space="preserve">Остаток по статье "Содержание и ремонт общего имущества МКД" на конец периода </t>
  </si>
  <si>
    <t>Август</t>
  </si>
  <si>
    <t>Электроэнергия СОИД (повыш. Тариф)</t>
  </si>
  <si>
    <t>Уборка лестничных клеток</t>
  </si>
  <si>
    <t>Должники на 01.08.2023г.</t>
  </si>
  <si>
    <t>Баланс дома на 01.08.2023г.</t>
  </si>
  <si>
    <t>на доме № 148 по ул. Победа</t>
  </si>
  <si>
    <t>за период с 01.08.2023г. по 31.12.2023г.</t>
  </si>
  <si>
    <t>Управляющая компания ООО "УК "ЮгДомКомфорт" с  01.08.2023 г.</t>
  </si>
  <si>
    <t>Август 2023г.</t>
  </si>
  <si>
    <t>ИТОГО август 2023г.</t>
  </si>
  <si>
    <t>31.08.2023г.</t>
  </si>
  <si>
    <t>Проверка вентканалов и дымоходдов</t>
  </si>
  <si>
    <t>Расчистка территории</t>
  </si>
  <si>
    <t>Откачка воды из подвала, крепление ветровой планки</t>
  </si>
  <si>
    <t>Ремонт ограждения после бури</t>
  </si>
  <si>
    <t>Приобретение и доставка песка (камаз)</t>
  </si>
  <si>
    <t>Замена плафонов и светильников</t>
  </si>
  <si>
    <t>Откачка воды из колодца и ремонт трубопр. ХВС-отвода</t>
  </si>
  <si>
    <t>Обработка и передача показаний ОДПУ ЭЭ</t>
  </si>
  <si>
    <t>Установка табличек предприятия 3 шт.</t>
  </si>
  <si>
    <t>дома по адресу: Ростовская область, г. Таганрог, ул.Победы, д. 148</t>
  </si>
  <si>
    <t>с 01.08.2023г. по 31.12.2023г.</t>
  </si>
  <si>
    <t>Содержание и ремонт общего имущества МКД</t>
  </si>
  <si>
    <t>Содержание и ремонт 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</si>
</sst>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8" fillId="0" borderId="4" xfId="0" applyNumberFormat="1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24" fillId="0" borderId="0" xfId="2" applyNumberFormat="1" applyFont="1" applyAlignment="1">
      <alignment horizontal="right" vertical="center" wrapText="1"/>
    </xf>
    <xf numFmtId="2" fontId="3" fillId="0" borderId="4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2" fontId="28" fillId="4" borderId="4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3" fillId="2" borderId="4" xfId="0" applyNumberFormat="1" applyFont="1" applyFill="1" applyBorder="1"/>
    <xf numFmtId="0" fontId="3" fillId="0" borderId="2" xfId="0" applyFont="1" applyBorder="1"/>
    <xf numFmtId="4" fontId="3" fillId="0" borderId="1" xfId="0" applyNumberFormat="1" applyFont="1" applyBorder="1"/>
    <xf numFmtId="2" fontId="3" fillId="0" borderId="2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3" fillId="0" borderId="3" xfId="0" applyNumberFormat="1" applyFont="1" applyBorder="1"/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8" fillId="0" borderId="1" xfId="0" applyNumberFormat="1" applyFont="1" applyBorder="1"/>
    <xf numFmtId="2" fontId="8" fillId="0" borderId="2" xfId="0" applyNumberFormat="1" applyFont="1" applyBorder="1"/>
    <xf numFmtId="2" fontId="8" fillId="0" borderId="3" xfId="0" applyNumberFormat="1" applyFont="1" applyBorder="1"/>
    <xf numFmtId="0" fontId="8" fillId="0" borderId="3" xfId="0" applyFont="1" applyBorder="1" applyAlignment="1">
      <alignment wrapText="1"/>
    </xf>
    <xf numFmtId="0" fontId="0" fillId="0" borderId="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7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96" t="s">
        <v>76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x14ac:dyDescent="0.3">
      <c r="A2" s="76" t="s">
        <v>77</v>
      </c>
      <c r="B2" s="88"/>
      <c r="C2" s="88"/>
      <c r="D2" s="60"/>
      <c r="E2" s="76" t="s">
        <v>78</v>
      </c>
      <c r="F2" s="88"/>
      <c r="G2" s="88"/>
      <c r="H2" s="88"/>
      <c r="I2" s="60"/>
      <c r="J2" s="76" t="s">
        <v>79</v>
      </c>
      <c r="K2" s="88"/>
      <c r="L2" s="88"/>
      <c r="M2" s="60"/>
    </row>
    <row r="3" spans="1:13" x14ac:dyDescent="0.3">
      <c r="A3" s="76" t="s">
        <v>85</v>
      </c>
      <c r="B3" s="60"/>
      <c r="C3" s="76" t="s">
        <v>81</v>
      </c>
      <c r="D3" s="88"/>
      <c r="E3" s="88"/>
      <c r="F3" s="88"/>
      <c r="G3" s="88"/>
      <c r="H3" s="88"/>
      <c r="I3" s="88"/>
      <c r="J3" s="88"/>
      <c r="K3" s="88"/>
      <c r="L3" s="88"/>
      <c r="M3" s="60"/>
    </row>
    <row r="4" spans="1:13" x14ac:dyDescent="0.3">
      <c r="A4" s="76" t="s">
        <v>80</v>
      </c>
      <c r="B4" s="88"/>
      <c r="C4" s="88"/>
      <c r="D4" s="88"/>
      <c r="E4" s="88"/>
      <c r="F4" s="88"/>
      <c r="G4" s="60"/>
      <c r="H4" s="76" t="s">
        <v>84</v>
      </c>
      <c r="I4" s="88"/>
      <c r="J4" s="88"/>
      <c r="K4" s="88"/>
      <c r="L4" s="88"/>
      <c r="M4" s="60"/>
    </row>
    <row r="5" spans="1:13" x14ac:dyDescent="0.3">
      <c r="A5" s="76" t="s">
        <v>82</v>
      </c>
      <c r="B5" s="88"/>
      <c r="C5" s="88"/>
      <c r="D5" s="88"/>
      <c r="E5" s="88"/>
      <c r="F5" s="88"/>
      <c r="G5" s="88"/>
      <c r="H5" s="83" t="s">
        <v>83</v>
      </c>
      <c r="I5" s="83"/>
      <c r="J5" s="83"/>
      <c r="K5" s="83"/>
      <c r="L5" s="83"/>
      <c r="M5" s="83"/>
    </row>
    <row r="6" spans="1:13" x14ac:dyDescent="0.3">
      <c r="A6" s="76" t="s">
        <v>91</v>
      </c>
      <c r="B6" s="88"/>
      <c r="C6" s="88"/>
      <c r="D6" s="60"/>
      <c r="E6" s="53">
        <v>0</v>
      </c>
      <c r="F6" s="54"/>
      <c r="G6" s="76" t="s">
        <v>55</v>
      </c>
      <c r="H6" s="88"/>
      <c r="I6" s="88"/>
      <c r="J6" s="88"/>
      <c r="K6" s="60"/>
      <c r="L6" s="53">
        <f>E17</f>
        <v>125660</v>
      </c>
      <c r="M6" s="54"/>
    </row>
    <row r="7" spans="1:13" x14ac:dyDescent="0.3">
      <c r="A7" s="76" t="s">
        <v>92</v>
      </c>
      <c r="B7" s="88"/>
      <c r="C7" s="88"/>
      <c r="D7" s="60"/>
      <c r="E7" s="53">
        <v>0</v>
      </c>
      <c r="F7" s="54"/>
      <c r="G7" s="76" t="s">
        <v>56</v>
      </c>
      <c r="H7" s="88"/>
      <c r="I7" s="88"/>
      <c r="J7" s="88"/>
      <c r="K7" s="60"/>
      <c r="L7" s="53">
        <f>G17</f>
        <v>86427.540000000008</v>
      </c>
      <c r="M7" s="60"/>
    </row>
    <row r="8" spans="1:13" x14ac:dyDescent="0.3">
      <c r="A8" s="63" t="s">
        <v>57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</row>
    <row r="9" spans="1:13" x14ac:dyDescent="0.3">
      <c r="A9" s="96" t="s">
        <v>86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1:13" ht="14.25" customHeight="1" x14ac:dyDescent="0.3">
      <c r="A10" s="76" t="s">
        <v>49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53">
        <v>0</v>
      </c>
      <c r="M10" s="54"/>
    </row>
    <row r="11" spans="1:13" ht="54.75" customHeight="1" x14ac:dyDescent="0.3">
      <c r="A11" s="71" t="s">
        <v>0</v>
      </c>
      <c r="B11" s="71"/>
      <c r="C11" s="59" t="s">
        <v>5</v>
      </c>
      <c r="D11" s="71"/>
      <c r="E11" s="59" t="s">
        <v>1</v>
      </c>
      <c r="F11" s="71"/>
      <c r="G11" s="59" t="s">
        <v>2</v>
      </c>
      <c r="H11" s="59"/>
      <c r="I11" s="107" t="s">
        <v>3</v>
      </c>
      <c r="J11" s="107"/>
      <c r="K11" s="105" t="s">
        <v>4</v>
      </c>
      <c r="L11" s="106"/>
      <c r="M11" s="2" t="s">
        <v>7</v>
      </c>
    </row>
    <row r="12" spans="1:13" x14ac:dyDescent="0.3">
      <c r="A12" s="83" t="s">
        <v>88</v>
      </c>
      <c r="B12" s="83"/>
      <c r="C12" s="53">
        <v>0</v>
      </c>
      <c r="D12" s="54"/>
      <c r="E12" s="53">
        <v>25132</v>
      </c>
      <c r="F12" s="54"/>
      <c r="G12" s="53">
        <v>0</v>
      </c>
      <c r="H12" s="54"/>
      <c r="I12" s="89">
        <f>'СОДЕРЖАНИЕ и РЕМОНТ ЖИЛЬЯ'!I15</f>
        <v>24999.729800000001</v>
      </c>
      <c r="J12" s="108"/>
      <c r="K12" s="55">
        <f>G12-I12</f>
        <v>-24999.729800000001</v>
      </c>
      <c r="L12" s="83"/>
      <c r="M12" s="50">
        <f>C12+E12-G12</f>
        <v>25132</v>
      </c>
    </row>
    <row r="13" spans="1:13" x14ac:dyDescent="0.3">
      <c r="A13" s="83" t="s">
        <v>50</v>
      </c>
      <c r="B13" s="83"/>
      <c r="C13" s="53">
        <f>M12</f>
        <v>25132</v>
      </c>
      <c r="D13" s="54"/>
      <c r="E13" s="53">
        <v>25132</v>
      </c>
      <c r="F13" s="54"/>
      <c r="G13" s="53">
        <v>18552.05</v>
      </c>
      <c r="H13" s="54"/>
      <c r="I13" s="89">
        <f>'СОДЕРЖАНИЕ и РЕМОНТ ЖИЛЬЯ'!I21</f>
        <v>19880.330120000002</v>
      </c>
      <c r="J13" s="108"/>
      <c r="K13" s="55">
        <f t="shared" ref="K13:K16" si="0">G13-I13</f>
        <v>-1328.2801200000031</v>
      </c>
      <c r="L13" s="83"/>
      <c r="M13" s="50">
        <f>C13+E13-G13</f>
        <v>31711.95</v>
      </c>
    </row>
    <row r="14" spans="1:13" x14ac:dyDescent="0.3">
      <c r="A14" s="83" t="s">
        <v>51</v>
      </c>
      <c r="B14" s="83"/>
      <c r="C14" s="53">
        <f>M13</f>
        <v>31711.95</v>
      </c>
      <c r="D14" s="54"/>
      <c r="E14" s="53">
        <v>25132</v>
      </c>
      <c r="F14" s="54"/>
      <c r="G14" s="53">
        <v>22563.72</v>
      </c>
      <c r="H14" s="54"/>
      <c r="I14" s="89">
        <f>'СОДЕРЖАНИЕ и РЕМОНТ ЖИЛЬЯ'!I27</f>
        <v>20030.961960000004</v>
      </c>
      <c r="J14" s="60"/>
      <c r="K14" s="55">
        <f t="shared" si="0"/>
        <v>2532.758039999997</v>
      </c>
      <c r="L14" s="83"/>
      <c r="M14" s="50">
        <f>C14+E14-G14</f>
        <v>34280.229999999996</v>
      </c>
    </row>
    <row r="15" spans="1:13" x14ac:dyDescent="0.3">
      <c r="A15" s="83" t="s">
        <v>52</v>
      </c>
      <c r="B15" s="83"/>
      <c r="C15" s="53">
        <f>M14</f>
        <v>34280.229999999996</v>
      </c>
      <c r="D15" s="54"/>
      <c r="E15" s="53">
        <v>25132</v>
      </c>
      <c r="F15" s="54"/>
      <c r="G15" s="53">
        <v>24048.55</v>
      </c>
      <c r="H15" s="54"/>
      <c r="I15" s="89">
        <f>'СОДЕРЖАНИЕ и РЕМОНТ ЖИЛЬЯ'!I40</f>
        <v>48451.933839999998</v>
      </c>
      <c r="J15" s="60"/>
      <c r="K15" s="55">
        <f t="shared" si="0"/>
        <v>-24403.383839999999</v>
      </c>
      <c r="L15" s="83"/>
      <c r="M15" s="50">
        <f>C15+E15-G15</f>
        <v>35363.679999999993</v>
      </c>
    </row>
    <row r="16" spans="1:13" x14ac:dyDescent="0.3">
      <c r="A16" s="83" t="s">
        <v>6</v>
      </c>
      <c r="B16" s="83"/>
      <c r="C16" s="53">
        <f>M15</f>
        <v>35363.679999999993</v>
      </c>
      <c r="D16" s="54"/>
      <c r="E16" s="53">
        <v>25132</v>
      </c>
      <c r="F16" s="54"/>
      <c r="G16" s="53">
        <v>21263.22</v>
      </c>
      <c r="H16" s="54"/>
      <c r="I16" s="89">
        <f>'СОДЕРЖАНИЕ и РЕМОНТ ЖИЛЬЯ'!I48</f>
        <v>36964.497020000003</v>
      </c>
      <c r="J16" s="60"/>
      <c r="K16" s="55">
        <f t="shared" si="0"/>
        <v>-15701.277020000001</v>
      </c>
      <c r="L16" s="83"/>
      <c r="M16" s="50">
        <v>39238.730000000003</v>
      </c>
    </row>
    <row r="17" spans="1:16" x14ac:dyDescent="0.3">
      <c r="A17" s="84" t="s">
        <v>8</v>
      </c>
      <c r="B17" s="84"/>
      <c r="C17" s="85"/>
      <c r="D17" s="86"/>
      <c r="E17" s="87">
        <f>SUM(E12:E16)</f>
        <v>125660</v>
      </c>
      <c r="F17" s="84"/>
      <c r="G17" s="87">
        <f>SUM(G12:G16)</f>
        <v>86427.540000000008</v>
      </c>
      <c r="H17" s="87"/>
      <c r="I17" s="87">
        <f>SUM(I12:I16)</f>
        <v>150327.45274000001</v>
      </c>
      <c r="J17" s="87"/>
      <c r="K17" s="68">
        <f>SUM(K12:K16)</f>
        <v>-63899.912740000007</v>
      </c>
      <c r="L17" s="70"/>
      <c r="M17" s="3">
        <f>M16</f>
        <v>39238.730000000003</v>
      </c>
    </row>
    <row r="18" spans="1:16" x14ac:dyDescent="0.3">
      <c r="A18" s="76" t="s">
        <v>87</v>
      </c>
      <c r="B18" s="88"/>
      <c r="C18" s="88"/>
      <c r="D18" s="88"/>
      <c r="E18" s="88"/>
      <c r="F18" s="88"/>
      <c r="G18" s="88"/>
      <c r="H18" s="88"/>
      <c r="I18" s="88"/>
      <c r="J18" s="88"/>
      <c r="K18" s="55">
        <f>L10+K17</f>
        <v>-63899.912740000007</v>
      </c>
      <c r="L18" s="55"/>
      <c r="M18" s="39"/>
    </row>
    <row r="19" spans="1:16" x14ac:dyDescent="0.3">
      <c r="A19" s="58" t="s">
        <v>9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P19" s="42"/>
    </row>
    <row r="20" spans="1:16" ht="52.5" customHeight="1" x14ac:dyDescent="0.3">
      <c r="A20" s="63" t="s">
        <v>10</v>
      </c>
      <c r="B20" s="64"/>
      <c r="C20" s="64"/>
      <c r="D20" s="65"/>
      <c r="E20" s="77" t="s">
        <v>5</v>
      </c>
      <c r="F20" s="78"/>
      <c r="G20" s="78"/>
      <c r="H20" s="79"/>
      <c r="I20" s="59" t="s">
        <v>1</v>
      </c>
      <c r="J20" s="71"/>
      <c r="K20" s="59" t="s">
        <v>2</v>
      </c>
      <c r="L20" s="59"/>
      <c r="M20" s="2" t="s">
        <v>7</v>
      </c>
      <c r="O20" s="42"/>
    </row>
    <row r="21" spans="1:16" ht="17.25" customHeight="1" x14ac:dyDescent="0.3">
      <c r="A21" s="91" t="s">
        <v>11</v>
      </c>
      <c r="B21" s="92"/>
      <c r="C21" s="92"/>
      <c r="D21" s="93"/>
      <c r="E21" s="80">
        <v>0</v>
      </c>
      <c r="F21" s="81"/>
      <c r="G21" s="81"/>
      <c r="H21" s="82"/>
      <c r="I21" s="66">
        <f>383.89+383.89+383.89+1450.24+543.85</f>
        <v>3145.7599999999998</v>
      </c>
      <c r="J21" s="67"/>
      <c r="K21" s="94">
        <f>283.39+344.67+477.51+1023.59</f>
        <v>2129.16</v>
      </c>
      <c r="L21" s="95"/>
      <c r="M21" s="4">
        <v>1016.6</v>
      </c>
    </row>
    <row r="22" spans="1:16" x14ac:dyDescent="0.3">
      <c r="A22" s="76" t="s">
        <v>12</v>
      </c>
      <c r="B22" s="88"/>
      <c r="C22" s="88"/>
      <c r="D22" s="60"/>
      <c r="E22" s="53">
        <v>0</v>
      </c>
      <c r="F22" s="90"/>
      <c r="G22" s="90"/>
      <c r="H22" s="54"/>
      <c r="I22" s="76">
        <f>170.85+170.85+170.85+170.85+170.85</f>
        <v>854.25</v>
      </c>
      <c r="J22" s="60"/>
      <c r="K22" s="53">
        <f>126.13+153.4+144.54+163.49</f>
        <v>587.55999999999995</v>
      </c>
      <c r="L22" s="60"/>
      <c r="M22" s="4">
        <v>266.73</v>
      </c>
    </row>
    <row r="23" spans="1:16" x14ac:dyDescent="0.3">
      <c r="A23" s="76" t="s">
        <v>89</v>
      </c>
      <c r="B23" s="88"/>
      <c r="C23" s="88"/>
      <c r="D23" s="60"/>
      <c r="E23" s="53">
        <v>0</v>
      </c>
      <c r="F23" s="90"/>
      <c r="G23" s="90"/>
      <c r="H23" s="54"/>
      <c r="I23" s="89">
        <f>4157.21+3530.57</f>
        <v>7687.7800000000007</v>
      </c>
      <c r="J23" s="60"/>
      <c r="K23" s="53">
        <f>219.54+3119.91</f>
        <v>3339.45</v>
      </c>
      <c r="L23" s="54"/>
      <c r="M23" s="4">
        <v>4367.54</v>
      </c>
    </row>
    <row r="24" spans="1:16" x14ac:dyDescent="0.3">
      <c r="A24" s="76" t="s">
        <v>13</v>
      </c>
      <c r="B24" s="88"/>
      <c r="C24" s="88"/>
      <c r="D24" s="60"/>
      <c r="E24" s="53">
        <v>0</v>
      </c>
      <c r="F24" s="90"/>
      <c r="G24" s="90"/>
      <c r="H24" s="54"/>
      <c r="I24" s="76">
        <f>1029.26+1029.26+1029.26+1285.66+886.95</f>
        <v>5260.3899999999994</v>
      </c>
      <c r="J24" s="60"/>
      <c r="K24" s="53">
        <f>759.77+924.08+1161.34+1111.54</f>
        <v>3956.7299999999996</v>
      </c>
      <c r="L24" s="60"/>
      <c r="M24" s="4">
        <v>1318.7</v>
      </c>
    </row>
    <row r="25" spans="1:16" x14ac:dyDescent="0.3">
      <c r="A25" s="61"/>
      <c r="B25" s="102"/>
      <c r="C25" s="102"/>
      <c r="D25" s="62"/>
      <c r="E25" s="68"/>
      <c r="F25" s="69"/>
      <c r="G25" s="69"/>
      <c r="H25" s="70"/>
      <c r="I25" s="68">
        <f>SUM(I21:I24)</f>
        <v>16948.18</v>
      </c>
      <c r="J25" s="62"/>
      <c r="K25" s="61">
        <f>SUM(K21:K24)</f>
        <v>10012.9</v>
      </c>
      <c r="L25" s="62"/>
      <c r="M25" s="3">
        <f>SUM(M21:M24)</f>
        <v>6969.57</v>
      </c>
    </row>
    <row r="26" spans="1:16" x14ac:dyDescent="0.3">
      <c r="A26" s="43"/>
      <c r="B26" s="44"/>
      <c r="C26" s="44"/>
      <c r="D26" s="45"/>
      <c r="E26" s="46"/>
      <c r="F26" s="47"/>
      <c r="G26" s="47"/>
      <c r="H26" s="39"/>
      <c r="I26" s="46"/>
      <c r="J26" s="45"/>
      <c r="K26" s="43"/>
      <c r="L26" s="45"/>
      <c r="M26" s="39"/>
    </row>
    <row r="27" spans="1:16" x14ac:dyDescent="0.3">
      <c r="A27" s="99" t="s">
        <v>54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1"/>
      <c r="M27" s="37">
        <v>1450.59</v>
      </c>
    </row>
    <row r="28" spans="1:16" x14ac:dyDescent="0.3">
      <c r="A28" s="99" t="s">
        <v>90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1"/>
      <c r="M28" s="37">
        <v>14231</v>
      </c>
    </row>
    <row r="29" spans="1:16" x14ac:dyDescent="0.3">
      <c r="A29" s="99" t="s">
        <v>74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1"/>
      <c r="M29" s="37">
        <v>23557.15</v>
      </c>
    </row>
    <row r="30" spans="1:16" x14ac:dyDescent="0.3">
      <c r="A30" s="75" t="s">
        <v>14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48">
        <v>11133.98</v>
      </c>
    </row>
    <row r="31" spans="1:16" x14ac:dyDescent="0.3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</row>
    <row r="32" spans="1:16" ht="15.6" x14ac:dyDescent="0.3">
      <c r="A32" s="75" t="s">
        <v>58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6">
        <f>M17+M25+M27+M28+M29+M30</f>
        <v>96581.02</v>
      </c>
    </row>
    <row r="33" spans="1:13" x14ac:dyDescent="0.3">
      <c r="A33" s="75" t="s">
        <v>15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36">
        <f>K18</f>
        <v>-63899.912740000007</v>
      </c>
    </row>
    <row r="34" spans="1:1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">
      <c r="A36" s="56"/>
      <c r="B36" s="56"/>
      <c r="C36" s="56"/>
      <c r="D36" s="56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">
      <c r="A37" s="56"/>
      <c r="B37" s="56"/>
      <c r="C37" s="56"/>
      <c r="D37" s="56"/>
      <c r="K37" s="57"/>
      <c r="L37" s="57"/>
      <c r="M37" s="57"/>
    </row>
  </sheetData>
  <mergeCells count="101">
    <mergeCell ref="K13:L13"/>
    <mergeCell ref="A23:D23"/>
    <mergeCell ref="E23:H23"/>
    <mergeCell ref="A28:L28"/>
    <mergeCell ref="A29:L29"/>
    <mergeCell ref="K23:L23"/>
    <mergeCell ref="I12:J12"/>
    <mergeCell ref="K12:L12"/>
    <mergeCell ref="C15:D15"/>
    <mergeCell ref="C16:D16"/>
    <mergeCell ref="C12:D12"/>
    <mergeCell ref="E15:F15"/>
    <mergeCell ref="E16:F16"/>
    <mergeCell ref="E12:F12"/>
    <mergeCell ref="A14:B14"/>
    <mergeCell ref="C14:D14"/>
    <mergeCell ref="A12:B12"/>
    <mergeCell ref="I14:J14"/>
    <mergeCell ref="E14:F14"/>
    <mergeCell ref="G17:H17"/>
    <mergeCell ref="I17:J17"/>
    <mergeCell ref="K14:L14"/>
    <mergeCell ref="K17:L17"/>
    <mergeCell ref="A13:B13"/>
    <mergeCell ref="C13:D13"/>
    <mergeCell ref="E13:F13"/>
    <mergeCell ref="G13:H13"/>
    <mergeCell ref="A5:G5"/>
    <mergeCell ref="H5:M5"/>
    <mergeCell ref="A27:L27"/>
    <mergeCell ref="A22:D22"/>
    <mergeCell ref="A24:D24"/>
    <mergeCell ref="A25:D25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I13:J13"/>
    <mergeCell ref="A6:D6"/>
    <mergeCell ref="E6:F6"/>
    <mergeCell ref="G6:K6"/>
    <mergeCell ref="A11:B11"/>
    <mergeCell ref="C11:D11"/>
    <mergeCell ref="A1:M1"/>
    <mergeCell ref="A2:D2"/>
    <mergeCell ref="E2:I2"/>
    <mergeCell ref="J2:M2"/>
    <mergeCell ref="A3:B3"/>
    <mergeCell ref="A4:G4"/>
    <mergeCell ref="H4:M4"/>
    <mergeCell ref="C3:M3"/>
    <mergeCell ref="A36:D36"/>
    <mergeCell ref="A15:B15"/>
    <mergeCell ref="A16:B16"/>
    <mergeCell ref="A17:B17"/>
    <mergeCell ref="C17:D17"/>
    <mergeCell ref="E17:F17"/>
    <mergeCell ref="K16:L16"/>
    <mergeCell ref="A18:J18"/>
    <mergeCell ref="K15:L15"/>
    <mergeCell ref="I15:J15"/>
    <mergeCell ref="I16:J16"/>
    <mergeCell ref="E22:H22"/>
    <mergeCell ref="E24:H24"/>
    <mergeCell ref="A21:D21"/>
    <mergeCell ref="K21:L21"/>
    <mergeCell ref="I24:J24"/>
    <mergeCell ref="I23:J23"/>
    <mergeCell ref="G14:H14"/>
    <mergeCell ref="G15:H15"/>
    <mergeCell ref="G12:H12"/>
    <mergeCell ref="G16:H16"/>
    <mergeCell ref="K18:L18"/>
    <mergeCell ref="A37:D37"/>
    <mergeCell ref="K37:M37"/>
    <mergeCell ref="A19:M19"/>
    <mergeCell ref="K20:L20"/>
    <mergeCell ref="K22:L22"/>
    <mergeCell ref="K24:L24"/>
    <mergeCell ref="K25:L25"/>
    <mergeCell ref="A20:D20"/>
    <mergeCell ref="I21:J21"/>
    <mergeCell ref="E25:H25"/>
    <mergeCell ref="I20:J20"/>
    <mergeCell ref="A31:M31"/>
    <mergeCell ref="A30:L30"/>
    <mergeCell ref="I22:J22"/>
    <mergeCell ref="I25:J25"/>
    <mergeCell ref="A32:L32"/>
    <mergeCell ref="A33:L33"/>
    <mergeCell ref="E20:H20"/>
    <mergeCell ref="E21:H21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O54"/>
  <sheetViews>
    <sheetView topLeftCell="A49" zoomScaleNormal="100" workbookViewId="0">
      <selection activeCell="G61" sqref="G61"/>
    </sheetView>
  </sheetViews>
  <sheetFormatPr defaultColWidth="9.109375" defaultRowHeight="13.8" x14ac:dyDescent="0.3"/>
  <cols>
    <col min="1" max="1" width="4.44140625" style="11" customWidth="1"/>
    <col min="2" max="2" width="6.5546875" style="11" customWidth="1"/>
    <col min="3" max="3" width="10.6640625" style="11" customWidth="1"/>
    <col min="4" max="4" width="6.88671875" style="11" customWidth="1"/>
    <col min="5" max="5" width="9.44140625" style="11" customWidth="1"/>
    <col min="6" max="6" width="25" style="11" customWidth="1"/>
    <col min="7" max="7" width="8.88671875" style="11" customWidth="1"/>
    <col min="8" max="8" width="8.33203125" style="11" customWidth="1"/>
    <col min="9" max="9" width="13.109375" style="11" customWidth="1"/>
    <col min="10" max="16384" width="9.109375" style="11"/>
  </cols>
  <sheetData>
    <row r="1" spans="2:14" x14ac:dyDescent="0.3">
      <c r="B1" s="7"/>
      <c r="C1" s="8"/>
      <c r="D1" s="9"/>
      <c r="E1" s="10"/>
      <c r="F1" s="10"/>
      <c r="G1" s="7"/>
      <c r="H1" s="7"/>
    </row>
    <row r="2" spans="2:14" ht="18" x14ac:dyDescent="0.35">
      <c r="B2" s="12" t="s">
        <v>16</v>
      </c>
      <c r="C2" s="12"/>
      <c r="D2" s="13"/>
      <c r="E2" s="13"/>
      <c r="F2" s="13"/>
      <c r="G2" s="13"/>
      <c r="H2" s="14"/>
      <c r="I2" s="14"/>
    </row>
    <row r="3" spans="2:14" ht="18" x14ac:dyDescent="0.35">
      <c r="B3" s="12" t="s">
        <v>23</v>
      </c>
      <c r="C3" s="12"/>
      <c r="D3" s="13"/>
      <c r="E3" s="13"/>
      <c r="F3" s="13"/>
      <c r="G3" s="13"/>
      <c r="H3" s="14"/>
      <c r="I3" s="14"/>
    </row>
    <row r="4" spans="2:14" ht="18" x14ac:dyDescent="0.35">
      <c r="B4" s="12" t="s">
        <v>93</v>
      </c>
      <c r="C4" s="12"/>
      <c r="D4" s="15"/>
      <c r="E4" s="15"/>
      <c r="F4" s="12"/>
      <c r="G4" s="13"/>
      <c r="H4" s="14"/>
      <c r="I4" s="14"/>
    </row>
    <row r="5" spans="2:14" ht="18" x14ac:dyDescent="0.35">
      <c r="B5" s="12" t="s">
        <v>94</v>
      </c>
      <c r="C5" s="12"/>
      <c r="D5" s="15"/>
      <c r="E5" s="15"/>
      <c r="F5" s="12"/>
      <c r="G5" s="13"/>
      <c r="H5" s="14"/>
      <c r="I5" s="14"/>
    </row>
    <row r="6" spans="2:14" ht="18" x14ac:dyDescent="0.35">
      <c r="B6" s="27" t="s">
        <v>95</v>
      </c>
      <c r="C6" s="27"/>
      <c r="D6" s="28"/>
      <c r="E6" s="28"/>
      <c r="F6" s="27"/>
      <c r="G6" s="29"/>
      <c r="H6" s="29"/>
      <c r="I6" s="29"/>
      <c r="J6" s="30"/>
    </row>
    <row r="7" spans="2:14" x14ac:dyDescent="0.3">
      <c r="B7" s="16"/>
      <c r="C7" s="16"/>
      <c r="D7" s="16"/>
      <c r="E7" s="16"/>
      <c r="F7" s="16"/>
      <c r="G7" s="16"/>
      <c r="H7" s="17" t="s">
        <v>17</v>
      </c>
      <c r="I7" s="18">
        <f ca="1">TODAY()</f>
        <v>45379</v>
      </c>
    </row>
    <row r="8" spans="2:14" ht="12.75" customHeight="1" x14ac:dyDescent="0.3">
      <c r="B8" s="124" t="s">
        <v>18</v>
      </c>
      <c r="C8" s="117" t="s">
        <v>25</v>
      </c>
      <c r="D8" s="122" t="s">
        <v>19</v>
      </c>
      <c r="E8" s="119"/>
      <c r="F8" s="117" t="s">
        <v>20</v>
      </c>
      <c r="G8" s="117" t="s">
        <v>21</v>
      </c>
      <c r="H8" s="117" t="s">
        <v>22</v>
      </c>
      <c r="I8" s="119" t="s">
        <v>24</v>
      </c>
    </row>
    <row r="9" spans="2:14" ht="24" customHeight="1" x14ac:dyDescent="0.3">
      <c r="B9" s="125"/>
      <c r="C9" s="118"/>
      <c r="D9" s="123"/>
      <c r="E9" s="120"/>
      <c r="F9" s="126"/>
      <c r="G9" s="126"/>
      <c r="H9" s="118"/>
      <c r="I9" s="120"/>
    </row>
    <row r="10" spans="2:14" x14ac:dyDescent="0.3">
      <c r="B10" s="114" t="s">
        <v>96</v>
      </c>
      <c r="C10" s="115"/>
      <c r="D10" s="115"/>
      <c r="E10" s="115"/>
      <c r="F10" s="115"/>
      <c r="G10" s="115"/>
      <c r="H10" s="115"/>
      <c r="I10" s="116"/>
    </row>
    <row r="11" spans="2:14" ht="26.4" x14ac:dyDescent="0.3">
      <c r="B11" s="19">
        <v>1</v>
      </c>
      <c r="C11" s="20" t="s">
        <v>98</v>
      </c>
      <c r="D11" s="112" t="s">
        <v>28</v>
      </c>
      <c r="E11" s="113"/>
      <c r="F11" s="24" t="s">
        <v>26</v>
      </c>
      <c r="G11" s="25" t="s">
        <v>27</v>
      </c>
      <c r="H11" s="25">
        <v>3141.5</v>
      </c>
      <c r="I11" s="26">
        <f>H11*2.7</f>
        <v>8482.0500000000011</v>
      </c>
      <c r="N11" s="41"/>
    </row>
    <row r="12" spans="2:14" ht="26.4" x14ac:dyDescent="0.3">
      <c r="B12" s="19">
        <v>2</v>
      </c>
      <c r="C12" s="20" t="s">
        <v>98</v>
      </c>
      <c r="D12" s="112" t="s">
        <v>28</v>
      </c>
      <c r="E12" s="113"/>
      <c r="F12" s="24" t="s">
        <v>30</v>
      </c>
      <c r="G12" s="25" t="s">
        <v>29</v>
      </c>
      <c r="H12" s="25">
        <v>1</v>
      </c>
      <c r="I12" s="26">
        <f>(58979.2*1.9%)</f>
        <v>1120.6047999999998</v>
      </c>
    </row>
    <row r="13" spans="2:14" ht="26.4" x14ac:dyDescent="0.3">
      <c r="B13" s="19">
        <v>3</v>
      </c>
      <c r="C13" s="20" t="s">
        <v>98</v>
      </c>
      <c r="D13" s="112" t="s">
        <v>28</v>
      </c>
      <c r="E13" s="113"/>
      <c r="F13" s="24" t="s">
        <v>99</v>
      </c>
      <c r="G13" s="25" t="s">
        <v>53</v>
      </c>
      <c r="H13" s="25">
        <v>1</v>
      </c>
      <c r="I13" s="26">
        <v>15240</v>
      </c>
    </row>
    <row r="14" spans="2:14" ht="52.8" x14ac:dyDescent="0.3">
      <c r="B14" s="19">
        <v>4</v>
      </c>
      <c r="C14" s="20" t="s">
        <v>98</v>
      </c>
      <c r="D14" s="112" t="s">
        <v>28</v>
      </c>
      <c r="E14" s="113"/>
      <c r="F14" s="51" t="s">
        <v>61</v>
      </c>
      <c r="G14" s="25" t="s">
        <v>53</v>
      </c>
      <c r="H14" s="25">
        <v>1</v>
      </c>
      <c r="I14" s="26">
        <f>3141.5*0.05</f>
        <v>157.07500000000002</v>
      </c>
    </row>
    <row r="15" spans="2:14" x14ac:dyDescent="0.3">
      <c r="B15" s="109" t="s">
        <v>97</v>
      </c>
      <c r="C15" s="110"/>
      <c r="D15" s="110"/>
      <c r="E15" s="110"/>
      <c r="F15" s="110"/>
      <c r="G15" s="110"/>
      <c r="H15" s="111"/>
      <c r="I15" s="40">
        <f>SUM(I11:I14)</f>
        <v>24999.729800000001</v>
      </c>
    </row>
    <row r="16" spans="2:14" x14ac:dyDescent="0.3">
      <c r="B16" s="114" t="s">
        <v>63</v>
      </c>
      <c r="C16" s="115"/>
      <c r="D16" s="115"/>
      <c r="E16" s="115"/>
      <c r="F16" s="115"/>
      <c r="G16" s="115"/>
      <c r="H16" s="115"/>
      <c r="I16" s="116"/>
    </row>
    <row r="17" spans="2:15" ht="26.4" x14ac:dyDescent="0.3">
      <c r="B17" s="19">
        <v>1</v>
      </c>
      <c r="C17" s="20" t="s">
        <v>65</v>
      </c>
      <c r="D17" s="112" t="s">
        <v>28</v>
      </c>
      <c r="E17" s="113"/>
      <c r="F17" s="24" t="s">
        <v>26</v>
      </c>
      <c r="G17" s="25" t="s">
        <v>27</v>
      </c>
      <c r="H17" s="25">
        <v>3141.5</v>
      </c>
      <c r="I17" s="26">
        <f>H17*2.7</f>
        <v>8482.0500000000011</v>
      </c>
      <c r="N17" s="41"/>
    </row>
    <row r="18" spans="2:15" x14ac:dyDescent="0.3">
      <c r="B18" s="19">
        <v>2</v>
      </c>
      <c r="C18" s="20" t="s">
        <v>65</v>
      </c>
      <c r="D18" s="112" t="s">
        <v>28</v>
      </c>
      <c r="E18" s="113"/>
      <c r="F18" s="24" t="s">
        <v>100</v>
      </c>
      <c r="G18" s="25" t="s">
        <v>53</v>
      </c>
      <c r="H18" s="25">
        <v>1</v>
      </c>
      <c r="I18" s="26">
        <v>9424</v>
      </c>
      <c r="N18" s="41"/>
    </row>
    <row r="19" spans="2:15" ht="26.4" x14ac:dyDescent="0.3">
      <c r="B19" s="19">
        <v>3</v>
      </c>
      <c r="C19" s="20" t="s">
        <v>65</v>
      </c>
      <c r="D19" s="112" t="s">
        <v>28</v>
      </c>
      <c r="E19" s="113"/>
      <c r="F19" s="24" t="s">
        <v>30</v>
      </c>
      <c r="G19" s="25" t="s">
        <v>29</v>
      </c>
      <c r="H19" s="25">
        <v>1</v>
      </c>
      <c r="I19" s="26">
        <f>(58979.2*1.9%)+(43537.52*1.6%)</f>
        <v>1817.2051199999999</v>
      </c>
    </row>
    <row r="20" spans="2:15" ht="52.8" x14ac:dyDescent="0.3">
      <c r="B20" s="19">
        <v>4</v>
      </c>
      <c r="C20" s="20" t="s">
        <v>65</v>
      </c>
      <c r="D20" s="112" t="s">
        <v>28</v>
      </c>
      <c r="E20" s="113"/>
      <c r="F20" s="51" t="s">
        <v>61</v>
      </c>
      <c r="G20" s="25" t="s">
        <v>53</v>
      </c>
      <c r="H20" s="25">
        <v>1</v>
      </c>
      <c r="I20" s="26">
        <f>I14</f>
        <v>157.07500000000002</v>
      </c>
    </row>
    <row r="21" spans="2:15" x14ac:dyDescent="0.3">
      <c r="B21" s="109" t="s">
        <v>64</v>
      </c>
      <c r="C21" s="110"/>
      <c r="D21" s="110"/>
      <c r="E21" s="110"/>
      <c r="F21" s="110"/>
      <c r="G21" s="110"/>
      <c r="H21" s="111"/>
      <c r="I21" s="40">
        <f>SUM(I17:I20)</f>
        <v>19880.330120000002</v>
      </c>
    </row>
    <row r="22" spans="2:15" ht="12.75" customHeight="1" x14ac:dyDescent="0.3">
      <c r="B22" s="114" t="s">
        <v>66</v>
      </c>
      <c r="C22" s="115"/>
      <c r="D22" s="115"/>
      <c r="E22" s="115"/>
      <c r="F22" s="115"/>
      <c r="G22" s="115"/>
      <c r="H22" s="115"/>
      <c r="I22" s="116"/>
    </row>
    <row r="23" spans="2:15" ht="26.4" x14ac:dyDescent="0.3">
      <c r="B23" s="19">
        <v>1</v>
      </c>
      <c r="C23" s="20" t="s">
        <v>68</v>
      </c>
      <c r="D23" s="112" t="s">
        <v>28</v>
      </c>
      <c r="E23" s="113"/>
      <c r="F23" s="24" t="s">
        <v>26</v>
      </c>
      <c r="G23" s="25" t="s">
        <v>27</v>
      </c>
      <c r="H23" s="25">
        <v>3141.5</v>
      </c>
      <c r="I23" s="26">
        <f>H23*2.7</f>
        <v>8482.0500000000011</v>
      </c>
    </row>
    <row r="24" spans="2:15" x14ac:dyDescent="0.3">
      <c r="B24" s="19">
        <v>2</v>
      </c>
      <c r="C24" s="20" t="s">
        <v>68</v>
      </c>
      <c r="D24" s="112" t="s">
        <v>28</v>
      </c>
      <c r="E24" s="113"/>
      <c r="F24" s="24" t="s">
        <v>100</v>
      </c>
      <c r="G24" s="25" t="s">
        <v>53</v>
      </c>
      <c r="H24" s="25">
        <v>1</v>
      </c>
      <c r="I24" s="26">
        <v>9424</v>
      </c>
    </row>
    <row r="25" spans="2:15" ht="26.4" x14ac:dyDescent="0.3">
      <c r="B25" s="19">
        <v>3</v>
      </c>
      <c r="C25" s="20" t="s">
        <v>68</v>
      </c>
      <c r="D25" s="112" t="s">
        <v>28</v>
      </c>
      <c r="E25" s="113"/>
      <c r="F25" s="24" t="s">
        <v>30</v>
      </c>
      <c r="G25" s="25" t="s">
        <v>29</v>
      </c>
      <c r="H25" s="25">
        <v>1</v>
      </c>
      <c r="I25" s="26">
        <f>(58979.2*1.9%)+(52952.01*1.6%)</f>
        <v>1967.8369599999999</v>
      </c>
    </row>
    <row r="26" spans="2:15" ht="52.8" x14ac:dyDescent="0.3">
      <c r="B26" s="19">
        <v>4</v>
      </c>
      <c r="C26" s="20" t="s">
        <v>68</v>
      </c>
      <c r="D26" s="112" t="s">
        <v>28</v>
      </c>
      <c r="E26" s="113"/>
      <c r="F26" s="51" t="s">
        <v>61</v>
      </c>
      <c r="G26" s="25" t="s">
        <v>53</v>
      </c>
      <c r="H26" s="25">
        <v>1</v>
      </c>
      <c r="I26" s="26">
        <f>I20</f>
        <v>157.07500000000002</v>
      </c>
      <c r="N26" s="41">
        <f>I12+I19+I25+I38+I46</f>
        <v>9092.8277400000006</v>
      </c>
    </row>
    <row r="27" spans="2:15" ht="12.75" customHeight="1" x14ac:dyDescent="0.3">
      <c r="B27" s="109" t="s">
        <v>67</v>
      </c>
      <c r="C27" s="110"/>
      <c r="D27" s="110"/>
      <c r="E27" s="110"/>
      <c r="F27" s="110"/>
      <c r="G27" s="110"/>
      <c r="H27" s="111"/>
      <c r="I27" s="40">
        <f>SUM(I23:I26)</f>
        <v>20030.961960000004</v>
      </c>
    </row>
    <row r="28" spans="2:15" x14ac:dyDescent="0.3">
      <c r="B28" s="114" t="s">
        <v>69</v>
      </c>
      <c r="C28" s="115"/>
      <c r="D28" s="115"/>
      <c r="E28" s="115"/>
      <c r="F28" s="115"/>
      <c r="G28" s="115"/>
      <c r="H28" s="115"/>
      <c r="I28" s="116"/>
    </row>
    <row r="29" spans="2:15" ht="26.4" x14ac:dyDescent="0.3">
      <c r="B29" s="19">
        <v>1</v>
      </c>
      <c r="C29" s="20" t="s">
        <v>60</v>
      </c>
      <c r="D29" s="112" t="s">
        <v>28</v>
      </c>
      <c r="E29" s="113"/>
      <c r="F29" s="24" t="s">
        <v>26</v>
      </c>
      <c r="G29" s="25" t="s">
        <v>27</v>
      </c>
      <c r="H29" s="25">
        <v>3141.5</v>
      </c>
      <c r="I29" s="26">
        <f>H29*2.7</f>
        <v>8482.0500000000011</v>
      </c>
      <c r="O29" s="41"/>
    </row>
    <row r="30" spans="2:15" ht="26.4" x14ac:dyDescent="0.3">
      <c r="B30" s="19">
        <v>2</v>
      </c>
      <c r="C30" s="20" t="s">
        <v>60</v>
      </c>
      <c r="D30" s="112" t="s">
        <v>28</v>
      </c>
      <c r="E30" s="113"/>
      <c r="F30" s="24" t="s">
        <v>101</v>
      </c>
      <c r="G30" s="25" t="s">
        <v>53</v>
      </c>
      <c r="H30" s="25">
        <v>1</v>
      </c>
      <c r="I30" s="26">
        <v>4806</v>
      </c>
      <c r="O30" s="41"/>
    </row>
    <row r="31" spans="2:15" ht="26.4" x14ac:dyDescent="0.3">
      <c r="B31" s="19">
        <v>3</v>
      </c>
      <c r="C31" s="20" t="s">
        <v>60</v>
      </c>
      <c r="D31" s="112" t="s">
        <v>28</v>
      </c>
      <c r="E31" s="113"/>
      <c r="F31" s="24" t="s">
        <v>103</v>
      </c>
      <c r="G31" s="25" t="s">
        <v>53</v>
      </c>
      <c r="H31" s="25">
        <v>1</v>
      </c>
      <c r="I31" s="26">
        <v>2500</v>
      </c>
      <c r="O31" s="41"/>
    </row>
    <row r="32" spans="2:15" ht="26.4" x14ac:dyDescent="0.3">
      <c r="B32" s="19">
        <v>4</v>
      </c>
      <c r="C32" s="20" t="s">
        <v>60</v>
      </c>
      <c r="D32" s="112" t="s">
        <v>28</v>
      </c>
      <c r="E32" s="113"/>
      <c r="F32" s="24" t="s">
        <v>104</v>
      </c>
      <c r="G32" s="25" t="s">
        <v>53</v>
      </c>
      <c r="H32" s="25">
        <v>1</v>
      </c>
      <c r="I32" s="26">
        <v>11233</v>
      </c>
      <c r="O32" s="41"/>
    </row>
    <row r="33" spans="2:15" ht="26.4" x14ac:dyDescent="0.3">
      <c r="B33" s="19">
        <v>5</v>
      </c>
      <c r="C33" s="20" t="s">
        <v>60</v>
      </c>
      <c r="D33" s="112" t="s">
        <v>28</v>
      </c>
      <c r="E33" s="113"/>
      <c r="F33" s="24" t="s">
        <v>102</v>
      </c>
      <c r="G33" s="25" t="s">
        <v>53</v>
      </c>
      <c r="H33" s="25">
        <v>1</v>
      </c>
      <c r="I33" s="26">
        <v>1000</v>
      </c>
      <c r="O33" s="41"/>
    </row>
    <row r="34" spans="2:15" ht="26.4" x14ac:dyDescent="0.3">
      <c r="B34" s="19">
        <v>6</v>
      </c>
      <c r="C34" s="20" t="s">
        <v>60</v>
      </c>
      <c r="D34" s="112" t="s">
        <v>28</v>
      </c>
      <c r="E34" s="113"/>
      <c r="F34" s="24" t="s">
        <v>105</v>
      </c>
      <c r="G34" s="25" t="s">
        <v>53</v>
      </c>
      <c r="H34" s="25">
        <v>1</v>
      </c>
      <c r="I34" s="26">
        <v>7188</v>
      </c>
      <c r="O34" s="41"/>
    </row>
    <row r="35" spans="2:15" x14ac:dyDescent="0.3">
      <c r="B35" s="19">
        <v>7</v>
      </c>
      <c r="C35" s="20" t="s">
        <v>60</v>
      </c>
      <c r="D35" s="112" t="s">
        <v>28</v>
      </c>
      <c r="E35" s="113"/>
      <c r="F35" s="24" t="s">
        <v>100</v>
      </c>
      <c r="G35" s="25" t="s">
        <v>53</v>
      </c>
      <c r="H35" s="25">
        <v>1</v>
      </c>
      <c r="I35" s="26">
        <v>9424</v>
      </c>
      <c r="O35" s="41"/>
    </row>
    <row r="36" spans="2:15" ht="26.4" x14ac:dyDescent="0.3">
      <c r="B36" s="19">
        <v>8</v>
      </c>
      <c r="C36" s="20" t="s">
        <v>60</v>
      </c>
      <c r="D36" s="112" t="s">
        <v>28</v>
      </c>
      <c r="E36" s="113"/>
      <c r="F36" s="24" t="s">
        <v>106</v>
      </c>
      <c r="G36" s="25" t="s">
        <v>53</v>
      </c>
      <c r="H36" s="25">
        <v>1</v>
      </c>
      <c r="I36" s="26">
        <v>350</v>
      </c>
      <c r="O36" s="41"/>
    </row>
    <row r="37" spans="2:15" ht="26.4" x14ac:dyDescent="0.3">
      <c r="B37" s="19">
        <v>9</v>
      </c>
      <c r="C37" s="20" t="s">
        <v>60</v>
      </c>
      <c r="D37" s="112" t="s">
        <v>28</v>
      </c>
      <c r="E37" s="113"/>
      <c r="F37" s="24" t="s">
        <v>107</v>
      </c>
      <c r="G37" s="25" t="s">
        <v>53</v>
      </c>
      <c r="H37" s="25">
        <v>1</v>
      </c>
      <c r="I37" s="26">
        <v>1176</v>
      </c>
      <c r="O37" s="41"/>
    </row>
    <row r="38" spans="2:15" ht="26.4" x14ac:dyDescent="0.3">
      <c r="B38" s="19">
        <v>10</v>
      </c>
      <c r="C38" s="20" t="s">
        <v>60</v>
      </c>
      <c r="D38" s="112" t="s">
        <v>28</v>
      </c>
      <c r="E38" s="113"/>
      <c r="F38" s="24" t="s">
        <v>30</v>
      </c>
      <c r="G38" s="25" t="s">
        <v>29</v>
      </c>
      <c r="H38" s="25">
        <v>1</v>
      </c>
      <c r="I38" s="26">
        <f>(64459.16*1.9%)+(56942.8*1.6%)</f>
        <v>2135.8088400000001</v>
      </c>
    </row>
    <row r="39" spans="2:15" ht="52.8" x14ac:dyDescent="0.3">
      <c r="B39" s="19">
        <v>11</v>
      </c>
      <c r="C39" s="20" t="s">
        <v>60</v>
      </c>
      <c r="D39" s="112" t="s">
        <v>28</v>
      </c>
      <c r="E39" s="113"/>
      <c r="F39" s="51" t="s">
        <v>61</v>
      </c>
      <c r="G39" s="25" t="s">
        <v>53</v>
      </c>
      <c r="H39" s="25">
        <v>1</v>
      </c>
      <c r="I39" s="26">
        <f>I26</f>
        <v>157.07500000000002</v>
      </c>
    </row>
    <row r="40" spans="2:15" x14ac:dyDescent="0.3">
      <c r="B40" s="109" t="s">
        <v>70</v>
      </c>
      <c r="C40" s="110"/>
      <c r="D40" s="110"/>
      <c r="E40" s="110"/>
      <c r="F40" s="110"/>
      <c r="G40" s="110"/>
      <c r="H40" s="111"/>
      <c r="I40" s="40">
        <f>SUM(I29:I39)</f>
        <v>48451.933839999998</v>
      </c>
    </row>
    <row r="41" spans="2:15" x14ac:dyDescent="0.3">
      <c r="B41" s="114" t="s">
        <v>71</v>
      </c>
      <c r="C41" s="115"/>
      <c r="D41" s="115"/>
      <c r="E41" s="115"/>
      <c r="F41" s="115"/>
      <c r="G41" s="115"/>
      <c r="H41" s="115"/>
      <c r="I41" s="116"/>
    </row>
    <row r="42" spans="2:15" ht="26.4" x14ac:dyDescent="0.3">
      <c r="B42" s="19">
        <v>1</v>
      </c>
      <c r="C42" s="20" t="s">
        <v>73</v>
      </c>
      <c r="D42" s="112" t="s">
        <v>28</v>
      </c>
      <c r="E42" s="113"/>
      <c r="F42" s="24" t="s">
        <v>26</v>
      </c>
      <c r="G42" s="25" t="s">
        <v>27</v>
      </c>
      <c r="H42" s="25">
        <v>3141.5</v>
      </c>
      <c r="I42" s="26">
        <f>H42*2.7</f>
        <v>8482.0500000000011</v>
      </c>
      <c r="O42" s="41"/>
    </row>
    <row r="43" spans="2:15" ht="26.4" x14ac:dyDescent="0.3">
      <c r="B43" s="19">
        <v>2</v>
      </c>
      <c r="C43" s="20" t="s">
        <v>73</v>
      </c>
      <c r="D43" s="112" t="s">
        <v>28</v>
      </c>
      <c r="E43" s="113"/>
      <c r="F43" s="24" t="s">
        <v>106</v>
      </c>
      <c r="G43" s="25" t="s">
        <v>53</v>
      </c>
      <c r="H43" s="25">
        <v>1</v>
      </c>
      <c r="I43" s="26">
        <v>350</v>
      </c>
      <c r="O43" s="41"/>
    </row>
    <row r="44" spans="2:15" ht="25.5" customHeight="1" x14ac:dyDescent="0.3">
      <c r="B44" s="19">
        <v>3</v>
      </c>
      <c r="C44" s="20" t="s">
        <v>73</v>
      </c>
      <c r="D44" s="112" t="s">
        <v>28</v>
      </c>
      <c r="E44" s="113"/>
      <c r="F44" s="24" t="s">
        <v>100</v>
      </c>
      <c r="G44" s="25" t="s">
        <v>53</v>
      </c>
      <c r="H44" s="25">
        <v>1</v>
      </c>
      <c r="I44" s="26">
        <v>9424</v>
      </c>
      <c r="O44" s="41"/>
    </row>
    <row r="45" spans="2:15" ht="15.75" customHeight="1" x14ac:dyDescent="0.3">
      <c r="B45" s="19">
        <v>4</v>
      </c>
      <c r="C45" s="20" t="s">
        <v>73</v>
      </c>
      <c r="D45" s="112"/>
      <c r="E45" s="113"/>
      <c r="F45" s="24" t="s">
        <v>75</v>
      </c>
      <c r="G45" s="25" t="s">
        <v>53</v>
      </c>
      <c r="H45" s="25">
        <v>1</v>
      </c>
      <c r="I45" s="26">
        <v>16500</v>
      </c>
      <c r="O45" s="41"/>
    </row>
    <row r="46" spans="2:15" ht="26.4" x14ac:dyDescent="0.3">
      <c r="B46" s="19">
        <v>5</v>
      </c>
      <c r="C46" s="20" t="s">
        <v>73</v>
      </c>
      <c r="D46" s="112" t="s">
        <v>28</v>
      </c>
      <c r="E46" s="113"/>
      <c r="F46" s="24" t="s">
        <v>30</v>
      </c>
      <c r="G46" s="25" t="s">
        <v>29</v>
      </c>
      <c r="H46" s="25">
        <v>1</v>
      </c>
      <c r="I46" s="26">
        <f>(62527.42*1.9%)+(53959.44*1.6%)</f>
        <v>2051.3720199999998</v>
      </c>
    </row>
    <row r="47" spans="2:15" ht="52.8" x14ac:dyDescent="0.3">
      <c r="B47" s="19">
        <v>6</v>
      </c>
      <c r="C47" s="20" t="s">
        <v>73</v>
      </c>
      <c r="D47" s="112" t="s">
        <v>28</v>
      </c>
      <c r="E47" s="113"/>
      <c r="F47" s="51" t="s">
        <v>61</v>
      </c>
      <c r="G47" s="25" t="s">
        <v>53</v>
      </c>
      <c r="H47" s="25">
        <v>1</v>
      </c>
      <c r="I47" s="26">
        <f>I39</f>
        <v>157.07500000000002</v>
      </c>
    </row>
    <row r="48" spans="2:15" x14ac:dyDescent="0.3">
      <c r="B48" s="109" t="s">
        <v>72</v>
      </c>
      <c r="C48" s="110"/>
      <c r="D48" s="110"/>
      <c r="E48" s="110"/>
      <c r="F48" s="110"/>
      <c r="G48" s="110"/>
      <c r="H48" s="111"/>
      <c r="I48" s="40">
        <f>SUM(I42:I47)</f>
        <v>36964.497020000003</v>
      </c>
    </row>
    <row r="49" spans="2:9" ht="15.75" customHeight="1" x14ac:dyDescent="0.3">
      <c r="B49" s="127" t="s">
        <v>62</v>
      </c>
      <c r="C49" s="128"/>
      <c r="D49" s="128"/>
      <c r="E49" s="128"/>
      <c r="F49" s="128"/>
      <c r="G49" s="128"/>
      <c r="H49" s="129"/>
      <c r="I49" s="31">
        <f>I15+I21+I27+I40+I48</f>
        <v>150327.45274000001</v>
      </c>
    </row>
    <row r="50" spans="2:9" x14ac:dyDescent="0.3">
      <c r="B50" s="21"/>
      <c r="C50" s="21"/>
      <c r="D50" s="22"/>
      <c r="E50" s="22"/>
      <c r="F50" s="22"/>
      <c r="G50" s="22"/>
      <c r="H50" s="22"/>
      <c r="I50" s="23"/>
    </row>
    <row r="51" spans="2:9" x14ac:dyDescent="0.3">
      <c r="B51" s="14"/>
      <c r="C51" s="14"/>
      <c r="D51" s="14"/>
      <c r="E51" s="14"/>
      <c r="F51" s="14"/>
      <c r="G51" s="14"/>
      <c r="H51" s="14"/>
      <c r="I51" s="14"/>
    </row>
    <row r="52" spans="2:9" ht="29.25" customHeight="1" x14ac:dyDescent="0.3">
      <c r="B52" s="121"/>
      <c r="C52" s="121"/>
      <c r="D52" s="121"/>
      <c r="E52" s="121"/>
      <c r="F52" s="121"/>
      <c r="G52" s="121"/>
      <c r="H52" s="121"/>
      <c r="I52" s="121"/>
    </row>
    <row r="53" spans="2:9" ht="14.4" x14ac:dyDescent="0.3">
      <c r="B53" s="56"/>
      <c r="C53" s="56"/>
      <c r="D53" s="56"/>
      <c r="E53" s="56"/>
    </row>
    <row r="54" spans="2:9" ht="14.4" x14ac:dyDescent="0.3">
      <c r="B54" s="57"/>
      <c r="C54" s="57"/>
      <c r="D54" s="57"/>
      <c r="E54" s="57"/>
      <c r="G54" s="57"/>
      <c r="H54" s="57"/>
      <c r="I54" s="57"/>
    </row>
  </sheetData>
  <mergeCells count="51">
    <mergeCell ref="B10:I10"/>
    <mergeCell ref="D11:E11"/>
    <mergeCell ref="D12:E12"/>
    <mergeCell ref="D14:E14"/>
    <mergeCell ref="B15:H15"/>
    <mergeCell ref="D13:E13"/>
    <mergeCell ref="B54:E54"/>
    <mergeCell ref="G54:I54"/>
    <mergeCell ref="H8:H9"/>
    <mergeCell ref="I8:I9"/>
    <mergeCell ref="B52:I52"/>
    <mergeCell ref="D8:E9"/>
    <mergeCell ref="B8:B9"/>
    <mergeCell ref="C8:C9"/>
    <mergeCell ref="F8:F9"/>
    <mergeCell ref="G8:G9"/>
    <mergeCell ref="B49:H49"/>
    <mergeCell ref="D20:E20"/>
    <mergeCell ref="B21:H21"/>
    <mergeCell ref="B22:I22"/>
    <mergeCell ref="B53:E53"/>
    <mergeCell ref="B16:I16"/>
    <mergeCell ref="D17:E17"/>
    <mergeCell ref="D19:E19"/>
    <mergeCell ref="D25:E25"/>
    <mergeCell ref="D26:E26"/>
    <mergeCell ref="B27:H27"/>
    <mergeCell ref="D23:E23"/>
    <mergeCell ref="D24:E24"/>
    <mergeCell ref="D18:E18"/>
    <mergeCell ref="B28:I28"/>
    <mergeCell ref="D29:E29"/>
    <mergeCell ref="D38:E38"/>
    <mergeCell ref="D39:E39"/>
    <mergeCell ref="B40:H40"/>
    <mergeCell ref="D33:E33"/>
    <mergeCell ref="D30:E30"/>
    <mergeCell ref="D31:E31"/>
    <mergeCell ref="D32:E32"/>
    <mergeCell ref="D34:E34"/>
    <mergeCell ref="D35:E35"/>
    <mergeCell ref="D36:E36"/>
    <mergeCell ref="D37:E37"/>
    <mergeCell ref="B48:H48"/>
    <mergeCell ref="D43:E43"/>
    <mergeCell ref="B41:I41"/>
    <mergeCell ref="D42:E42"/>
    <mergeCell ref="D46:E46"/>
    <mergeCell ref="D47:E47"/>
    <mergeCell ref="D44:E44"/>
    <mergeCell ref="D45:E45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R53"/>
  <sheetViews>
    <sheetView showRuler="0" zoomScaleNormal="100" workbookViewId="0">
      <selection activeCell="J46" sqref="J46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  <col min="18" max="18" width="22.44140625" customWidth="1"/>
  </cols>
  <sheetData>
    <row r="1" spans="1:13" x14ac:dyDescent="0.3">
      <c r="A1" s="130" t="s">
        <v>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x14ac:dyDescent="0.3">
      <c r="A2" s="130" t="s">
        <v>108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x14ac:dyDescent="0.3">
      <c r="A3" s="131" t="s">
        <v>109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3">
      <c r="A4" s="76" t="s">
        <v>77</v>
      </c>
      <c r="B4" s="88"/>
      <c r="C4" s="88"/>
      <c r="D4" s="60"/>
      <c r="E4" s="76" t="s">
        <v>78</v>
      </c>
      <c r="F4" s="88"/>
      <c r="G4" s="88"/>
      <c r="H4" s="88"/>
      <c r="I4" s="60"/>
      <c r="J4" s="76" t="s">
        <v>79</v>
      </c>
      <c r="K4" s="88"/>
      <c r="L4" s="88"/>
      <c r="M4" s="60"/>
    </row>
    <row r="5" spans="1:13" x14ac:dyDescent="0.3">
      <c r="A5" s="76" t="s">
        <v>85</v>
      </c>
      <c r="B5" s="60"/>
      <c r="C5" s="76" t="s">
        <v>81</v>
      </c>
      <c r="D5" s="88"/>
      <c r="E5" s="88"/>
      <c r="F5" s="88"/>
      <c r="G5" s="88"/>
      <c r="H5" s="88"/>
      <c r="I5" s="88"/>
      <c r="J5" s="88"/>
      <c r="K5" s="88"/>
      <c r="L5" s="88"/>
      <c r="M5" s="60"/>
    </row>
    <row r="6" spans="1:13" x14ac:dyDescent="0.3">
      <c r="A6" s="76" t="s">
        <v>80</v>
      </c>
      <c r="B6" s="88"/>
      <c r="C6" s="88"/>
      <c r="D6" s="88"/>
      <c r="E6" s="88"/>
      <c r="F6" s="88"/>
      <c r="G6" s="60"/>
      <c r="H6" s="76" t="s">
        <v>84</v>
      </c>
      <c r="I6" s="88"/>
      <c r="J6" s="88"/>
      <c r="K6" s="88"/>
      <c r="L6" s="88"/>
      <c r="M6" s="60"/>
    </row>
    <row r="7" spans="1:13" x14ac:dyDescent="0.3">
      <c r="A7" s="76" t="s">
        <v>82</v>
      </c>
      <c r="B7" s="88"/>
      <c r="C7" s="88"/>
      <c r="D7" s="88"/>
      <c r="E7" s="88"/>
      <c r="F7" s="88"/>
      <c r="G7" s="88"/>
      <c r="H7" s="83" t="s">
        <v>83</v>
      </c>
      <c r="I7" s="83"/>
      <c r="J7" s="83"/>
      <c r="K7" s="83"/>
      <c r="L7" s="83"/>
      <c r="M7" s="83"/>
    </row>
    <row r="8" spans="1:13" x14ac:dyDescent="0.3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ht="38.25" customHeight="1" x14ac:dyDescent="0.3">
      <c r="A9" s="135" t="s">
        <v>31</v>
      </c>
      <c r="B9" s="135"/>
      <c r="C9" s="135"/>
      <c r="D9" s="135"/>
      <c r="E9" s="136" t="s">
        <v>32</v>
      </c>
      <c r="F9" s="136"/>
      <c r="G9" s="132" t="s">
        <v>33</v>
      </c>
      <c r="H9" s="133"/>
      <c r="I9" s="134"/>
      <c r="J9" s="132" t="s">
        <v>34</v>
      </c>
      <c r="K9" s="133"/>
      <c r="L9" s="134"/>
      <c r="M9" s="34" t="s">
        <v>35</v>
      </c>
    </row>
    <row r="10" spans="1:13" x14ac:dyDescent="0.3">
      <c r="A10" s="179" t="s">
        <v>36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1"/>
    </row>
    <row r="11" spans="1:13" x14ac:dyDescent="0.3">
      <c r="A11" s="182" t="s">
        <v>110</v>
      </c>
      <c r="B11" s="183"/>
      <c r="C11" s="183"/>
      <c r="D11" s="184"/>
      <c r="E11" s="137">
        <v>0</v>
      </c>
      <c r="F11" s="75"/>
      <c r="G11" s="171">
        <v>125660</v>
      </c>
      <c r="H11" s="173"/>
      <c r="I11" s="172"/>
      <c r="J11" s="171">
        <v>86427.54</v>
      </c>
      <c r="K11" s="173"/>
      <c r="L11" s="172"/>
      <c r="M11" s="38">
        <v>39238.730000000003</v>
      </c>
    </row>
    <row r="12" spans="1:13" ht="21" customHeight="1" x14ac:dyDescent="0.3">
      <c r="A12" s="99" t="s">
        <v>37</v>
      </c>
      <c r="B12" s="100"/>
      <c r="C12" s="100"/>
      <c r="D12" s="101"/>
      <c r="E12" s="144"/>
      <c r="F12" s="146"/>
      <c r="G12" s="144">
        <f>SUM(G11:G11)</f>
        <v>125660</v>
      </c>
      <c r="H12" s="145"/>
      <c r="I12" s="146"/>
      <c r="J12" s="144">
        <f>SUM(J11:J11)</f>
        <v>86427.54</v>
      </c>
      <c r="K12" s="100"/>
      <c r="L12" s="101"/>
      <c r="M12" s="37">
        <f>SUM(M11:M11)</f>
        <v>39238.730000000003</v>
      </c>
    </row>
    <row r="13" spans="1:13" x14ac:dyDescent="0.3">
      <c r="A13" s="75" t="s">
        <v>14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48">
        <v>11133.98</v>
      </c>
    </row>
    <row r="14" spans="1:13" x14ac:dyDescent="0.3">
      <c r="A14" s="99" t="s">
        <v>54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1"/>
      <c r="M14" s="37">
        <v>1450.59</v>
      </c>
    </row>
    <row r="15" spans="1:13" x14ac:dyDescent="0.3">
      <c r="A15" s="99" t="s">
        <v>90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1"/>
      <c r="M15" s="37">
        <v>14231</v>
      </c>
    </row>
    <row r="16" spans="1:13" x14ac:dyDescent="0.3">
      <c r="A16" s="99" t="s">
        <v>74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37">
        <v>23557.15</v>
      </c>
    </row>
    <row r="17" spans="1:18" x14ac:dyDescent="0.3">
      <c r="A17" s="179" t="s">
        <v>38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1"/>
    </row>
    <row r="18" spans="1:18" x14ac:dyDescent="0.3">
      <c r="A18" s="176" t="s">
        <v>11</v>
      </c>
      <c r="B18" s="177"/>
      <c r="C18" s="177"/>
      <c r="D18" s="178"/>
      <c r="E18" s="171">
        <v>0</v>
      </c>
      <c r="F18" s="172"/>
      <c r="G18" s="171">
        <v>3145.76</v>
      </c>
      <c r="H18" s="173"/>
      <c r="I18" s="172"/>
      <c r="J18" s="171">
        <v>2129.16</v>
      </c>
      <c r="K18" s="174"/>
      <c r="L18" s="175"/>
      <c r="M18" s="52">
        <v>1016.6</v>
      </c>
    </row>
    <row r="19" spans="1:18" ht="14.25" customHeight="1" x14ac:dyDescent="0.3">
      <c r="A19" s="99" t="s">
        <v>12</v>
      </c>
      <c r="B19" s="100"/>
      <c r="C19" s="100"/>
      <c r="D19" s="101"/>
      <c r="E19" s="137">
        <v>0</v>
      </c>
      <c r="F19" s="137"/>
      <c r="G19" s="144">
        <v>854.25</v>
      </c>
      <c r="H19" s="145"/>
      <c r="I19" s="146"/>
      <c r="J19" s="144">
        <v>587.55999999999995</v>
      </c>
      <c r="K19" s="145"/>
      <c r="L19" s="146"/>
      <c r="M19" s="52">
        <v>266.73</v>
      </c>
    </row>
    <row r="20" spans="1:18" ht="14.25" customHeight="1" x14ac:dyDescent="0.3">
      <c r="A20" s="76" t="s">
        <v>89</v>
      </c>
      <c r="B20" s="88"/>
      <c r="C20" s="88"/>
      <c r="D20" s="60"/>
      <c r="E20" s="144">
        <v>0</v>
      </c>
      <c r="F20" s="146"/>
      <c r="G20" s="144">
        <v>7687.78</v>
      </c>
      <c r="H20" s="145"/>
      <c r="I20" s="146"/>
      <c r="J20" s="144">
        <v>3339.35</v>
      </c>
      <c r="K20" s="145"/>
      <c r="L20" s="146"/>
      <c r="M20" s="52">
        <v>4367.54</v>
      </c>
    </row>
    <row r="21" spans="1:18" x14ac:dyDescent="0.3">
      <c r="A21" s="99" t="s">
        <v>13</v>
      </c>
      <c r="B21" s="100"/>
      <c r="C21" s="100"/>
      <c r="D21" s="101"/>
      <c r="E21" s="137">
        <v>0</v>
      </c>
      <c r="F21" s="137"/>
      <c r="G21" s="99">
        <v>5290.72</v>
      </c>
      <c r="H21" s="100"/>
      <c r="I21" s="101"/>
      <c r="J21" s="144">
        <v>3200.76</v>
      </c>
      <c r="K21" s="100"/>
      <c r="L21" s="101"/>
      <c r="M21" s="52">
        <v>1318.7</v>
      </c>
    </row>
    <row r="22" spans="1:18" ht="27.75" customHeight="1" x14ac:dyDescent="0.3">
      <c r="A22" s="140" t="s">
        <v>39</v>
      </c>
      <c r="B22" s="141"/>
      <c r="C22" s="141"/>
      <c r="D22" s="147"/>
      <c r="E22" s="137"/>
      <c r="F22" s="137"/>
      <c r="G22" s="144">
        <f>SUM(G18:G21)</f>
        <v>16978.510000000002</v>
      </c>
      <c r="H22" s="145"/>
      <c r="I22" s="146"/>
      <c r="J22" s="99">
        <f>SUM(J18:J21)</f>
        <v>9256.83</v>
      </c>
      <c r="K22" s="100"/>
      <c r="L22" s="101"/>
      <c r="M22" s="36">
        <f>M18+M19+M20+M21</f>
        <v>6969.57</v>
      </c>
    </row>
    <row r="23" spans="1:18" ht="18.75" customHeight="1" x14ac:dyDescent="0.3">
      <c r="A23" s="140" t="s">
        <v>8</v>
      </c>
      <c r="B23" s="141"/>
      <c r="C23" s="141"/>
      <c r="D23" s="141"/>
      <c r="E23" s="137"/>
      <c r="F23" s="137"/>
      <c r="G23" s="144"/>
      <c r="H23" s="145"/>
      <c r="I23" s="146"/>
      <c r="J23" s="99"/>
      <c r="K23" s="100"/>
      <c r="L23" s="101"/>
      <c r="M23" s="36">
        <f>M12+M13+M14+M15+M16+M22</f>
        <v>96581.020000000019</v>
      </c>
    </row>
    <row r="24" spans="1:18" ht="17.25" customHeight="1" x14ac:dyDescent="0.3">
      <c r="A24" s="157" t="s">
        <v>40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9"/>
    </row>
    <row r="25" spans="1:18" x14ac:dyDescent="0.3">
      <c r="A25" s="5" t="s">
        <v>18</v>
      </c>
      <c r="B25" s="135" t="s">
        <v>41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8" t="s">
        <v>42</v>
      </c>
      <c r="M25" s="138"/>
    </row>
    <row r="26" spans="1:18" x14ac:dyDescent="0.3">
      <c r="A26" s="32">
        <v>1</v>
      </c>
      <c r="B26" s="139" t="s">
        <v>26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44">
        <f>8482.02*5</f>
        <v>42410.100000000006</v>
      </c>
      <c r="M26" s="146"/>
    </row>
    <row r="27" spans="1:18" ht="15.75" customHeight="1" x14ac:dyDescent="0.3">
      <c r="A27" s="32">
        <v>2</v>
      </c>
      <c r="B27" s="139" t="s">
        <v>30</v>
      </c>
      <c r="C27" s="139"/>
      <c r="D27" s="139"/>
      <c r="E27" s="139"/>
      <c r="F27" s="139"/>
      <c r="G27" s="139"/>
      <c r="H27" s="139"/>
      <c r="I27" s="139"/>
      <c r="J27" s="139"/>
      <c r="K27" s="139"/>
      <c r="L27" s="99">
        <v>2213.3200000000002</v>
      </c>
      <c r="M27" s="101"/>
    </row>
    <row r="28" spans="1:18" ht="15.6" x14ac:dyDescent="0.3">
      <c r="A28" s="32">
        <v>3</v>
      </c>
      <c r="B28" s="139" t="s">
        <v>61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7">
        <v>9092.83</v>
      </c>
      <c r="M28" s="137"/>
      <c r="R28" s="49"/>
    </row>
    <row r="29" spans="1:18" x14ac:dyDescent="0.3">
      <c r="A29" s="32">
        <v>5</v>
      </c>
      <c r="B29" s="149" t="s">
        <v>111</v>
      </c>
      <c r="C29" s="150"/>
      <c r="D29" s="150"/>
      <c r="E29" s="150"/>
      <c r="F29" s="150"/>
      <c r="G29" s="150"/>
      <c r="H29" s="150"/>
      <c r="I29" s="150"/>
      <c r="J29" s="150"/>
      <c r="K29" s="151"/>
      <c r="L29" s="144">
        <f>'СОДЕРЖАНИЕ и РЕМОНТ ЖИЛЬЯ'!I49-L26-L27-L28</f>
        <v>96611.202739999993</v>
      </c>
      <c r="M29" s="146"/>
    </row>
    <row r="30" spans="1:18" x14ac:dyDescent="0.3">
      <c r="A30" s="154" t="s">
        <v>43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6"/>
      <c r="L30" s="152">
        <f>SUM(L26:L29)</f>
        <v>150327.45274000001</v>
      </c>
      <c r="M30" s="153"/>
    </row>
    <row r="31" spans="1:18" x14ac:dyDescent="0.3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7"/>
      <c r="L31" s="148"/>
      <c r="M31" s="148"/>
    </row>
    <row r="32" spans="1:18" x14ac:dyDescent="0.3">
      <c r="A32" s="161" t="s">
        <v>44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142">
        <v>0</v>
      </c>
      <c r="M32" s="143"/>
    </row>
    <row r="33" spans="1:15" x14ac:dyDescent="0.3">
      <c r="A33" s="161" t="s">
        <v>48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42">
        <f>M23</f>
        <v>96581.020000000019</v>
      </c>
      <c r="M33" s="143"/>
    </row>
    <row r="34" spans="1:15" x14ac:dyDescent="0.3">
      <c r="A34" s="161" t="s">
        <v>45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  <c r="L34" s="142">
        <f>J12</f>
        <v>86427.54</v>
      </c>
      <c r="M34" s="143"/>
    </row>
    <row r="35" spans="1:15" x14ac:dyDescent="0.3">
      <c r="A35" s="161" t="s">
        <v>46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42">
        <f>L30</f>
        <v>150327.45274000001</v>
      </c>
      <c r="M35" s="143"/>
    </row>
    <row r="36" spans="1:15" x14ac:dyDescent="0.3">
      <c r="A36" s="161" t="s">
        <v>47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142">
        <f>L34-L35</f>
        <v>-63899.912740000014</v>
      </c>
      <c r="M36" s="168"/>
      <c r="O36" s="42"/>
    </row>
    <row r="37" spans="1:15" x14ac:dyDescent="0.3">
      <c r="A37" s="33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1:15" x14ac:dyDescent="0.3">
      <c r="A38" s="35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64"/>
      <c r="M38" s="164"/>
    </row>
    <row r="39" spans="1:15" x14ac:dyDescent="0.3">
      <c r="A39" s="35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</row>
    <row r="40" spans="1:15" x14ac:dyDescent="0.3">
      <c r="A40" s="35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</row>
    <row r="41" spans="1:15" x14ac:dyDescent="0.3">
      <c r="A41" s="1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"/>
      <c r="M41" s="1"/>
    </row>
    <row r="42" spans="1:15" x14ac:dyDescent="0.3">
      <c r="A42" s="1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</sheetData>
  <mergeCells count="91">
    <mergeCell ref="H6:M6"/>
    <mergeCell ref="A12:D12"/>
    <mergeCell ref="E12:F12"/>
    <mergeCell ref="G12:I12"/>
    <mergeCell ref="E18:F18"/>
    <mergeCell ref="G18:I18"/>
    <mergeCell ref="J18:L18"/>
    <mergeCell ref="A18:D18"/>
    <mergeCell ref="A10:M10"/>
    <mergeCell ref="A11:D11"/>
    <mergeCell ref="E11:F11"/>
    <mergeCell ref="J12:L12"/>
    <mergeCell ref="A17:M17"/>
    <mergeCell ref="G11:I11"/>
    <mergeCell ref="J11:L11"/>
    <mergeCell ref="A13:L13"/>
    <mergeCell ref="A20:D20"/>
    <mergeCell ref="E20:F20"/>
    <mergeCell ref="G20:I20"/>
    <mergeCell ref="J20:L20"/>
    <mergeCell ref="G21:I21"/>
    <mergeCell ref="J21:L21"/>
    <mergeCell ref="B42:K42"/>
    <mergeCell ref="L42:M42"/>
    <mergeCell ref="A33:K33"/>
    <mergeCell ref="L33:M33"/>
    <mergeCell ref="L35:M35"/>
    <mergeCell ref="L36:M36"/>
    <mergeCell ref="L37:M37"/>
    <mergeCell ref="L38:M38"/>
    <mergeCell ref="L39:M39"/>
    <mergeCell ref="L40:M40"/>
    <mergeCell ref="L34:M34"/>
    <mergeCell ref="B37:K37"/>
    <mergeCell ref="B38:K38"/>
    <mergeCell ref="B40:K40"/>
    <mergeCell ref="A36:K36"/>
    <mergeCell ref="A34:K34"/>
    <mergeCell ref="B41:K41"/>
    <mergeCell ref="A35:K35"/>
    <mergeCell ref="B39:K39"/>
    <mergeCell ref="A31:K31"/>
    <mergeCell ref="A32:K32"/>
    <mergeCell ref="L32:M32"/>
    <mergeCell ref="G22:I22"/>
    <mergeCell ref="J22:L22"/>
    <mergeCell ref="A22:D22"/>
    <mergeCell ref="L31:M31"/>
    <mergeCell ref="B29:K29"/>
    <mergeCell ref="L29:M29"/>
    <mergeCell ref="L30:M30"/>
    <mergeCell ref="E23:F23"/>
    <mergeCell ref="G23:I23"/>
    <mergeCell ref="J23:L23"/>
    <mergeCell ref="A30:K30"/>
    <mergeCell ref="B27:K27"/>
    <mergeCell ref="L26:M26"/>
    <mergeCell ref="L27:M27"/>
    <mergeCell ref="A24:M24"/>
    <mergeCell ref="H7:M7"/>
    <mergeCell ref="C5:M5"/>
    <mergeCell ref="A6:G6"/>
    <mergeCell ref="L28:M28"/>
    <mergeCell ref="B25:K25"/>
    <mergeCell ref="L25:M25"/>
    <mergeCell ref="B26:K26"/>
    <mergeCell ref="A23:D23"/>
    <mergeCell ref="B28:K28"/>
    <mergeCell ref="E22:F22"/>
    <mergeCell ref="E21:F21"/>
    <mergeCell ref="A19:D19"/>
    <mergeCell ref="G19:I19"/>
    <mergeCell ref="J19:L19"/>
    <mergeCell ref="A21:D21"/>
    <mergeCell ref="E19:F19"/>
    <mergeCell ref="A14:L14"/>
    <mergeCell ref="A16:L16"/>
    <mergeCell ref="A15:L15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A7:G7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Победы 148</vt:lpstr>
      <vt:lpstr>СОДЕРЖАНИЕ и РЕМОНТ ЖИЛЬЯ</vt:lpstr>
      <vt:lpstr>ОТЧЕТ Победа 148 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2024-03-28T15:26:43Z</dcterms:modified>
</cp:coreProperties>
</file>