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7545D3A9-7CA0-45E8-9E91-7E0AC665EDF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Ленина 125-А" sheetId="1" r:id="rId1"/>
    <sheet name="СОДЕРЖАНИЕ ЖИЛЬЯ" sheetId="2" r:id="rId2"/>
    <sheet name="РЕМОНТ ЖИЛЬЯ" sheetId="3" r:id="rId3"/>
    <sheet name="ОТЧЕТ Ленина125-А  на подпись" sheetId="4" r:id="rId4"/>
  </sheets>
  <calcPr calcId="191029" refMode="R1C1"/>
</workbook>
</file>

<file path=xl/calcChain.xml><?xml version="1.0" encoding="utf-8"?>
<calcChain xmlns="http://schemas.openxmlformats.org/spreadsheetml/2006/main">
  <c r="L29" i="4" l="1"/>
  <c r="L27" i="4" l="1"/>
  <c r="L25" i="4"/>
  <c r="I74" i="2"/>
  <c r="I75" i="2"/>
  <c r="I68" i="2"/>
  <c r="I69" i="2"/>
  <c r="I63" i="2"/>
  <c r="I64" i="2"/>
  <c r="I58" i="2"/>
  <c r="I59" i="2"/>
  <c r="I52" i="2"/>
  <c r="I53" i="2"/>
  <c r="I13" i="3"/>
  <c r="L28" i="4" s="1"/>
  <c r="I12" i="3"/>
  <c r="I35" i="1" s="1"/>
  <c r="I46" i="2"/>
  <c r="I47" i="2"/>
  <c r="I40" i="2"/>
  <c r="I41" i="2"/>
  <c r="I35" i="2"/>
  <c r="I36" i="2"/>
  <c r="I29" i="2"/>
  <c r="I30" i="2"/>
  <c r="I24" i="2"/>
  <c r="I25" i="2"/>
  <c r="I18" i="2"/>
  <c r="I13" i="2"/>
  <c r="I19" i="2" l="1"/>
  <c r="I12" i="2"/>
  <c r="I11" i="2" l="1"/>
  <c r="I14" i="2" s="1"/>
  <c r="I12" i="1" s="1"/>
  <c r="I16" i="2"/>
  <c r="I22" i="2"/>
  <c r="I28" i="2"/>
  <c r="I33" i="2"/>
  <c r="I37" i="2" s="1"/>
  <c r="I16" i="1" s="1"/>
  <c r="I39" i="2"/>
  <c r="I44" i="2"/>
  <c r="I48" i="2" s="1"/>
  <c r="I18" i="1" s="1"/>
  <c r="I50" i="2"/>
  <c r="M46" i="1"/>
  <c r="K47" i="1"/>
  <c r="I47" i="1"/>
  <c r="K46" i="1"/>
  <c r="I46" i="1"/>
  <c r="K45" i="1"/>
  <c r="I45" i="1"/>
  <c r="K30" i="1"/>
  <c r="K31" i="1"/>
  <c r="K32" i="1"/>
  <c r="K33" i="1"/>
  <c r="K34" i="1"/>
  <c r="K35" i="1"/>
  <c r="K36" i="1"/>
  <c r="K37" i="1"/>
  <c r="K38" i="1"/>
  <c r="K39" i="1"/>
  <c r="K40" i="1"/>
  <c r="K16" i="1"/>
  <c r="K18" i="1"/>
  <c r="I31" i="2" l="1"/>
  <c r="I15" i="1" s="1"/>
  <c r="K15" i="1" s="1"/>
  <c r="I26" i="2"/>
  <c r="I14" i="1" s="1"/>
  <c r="K14" i="1" s="1"/>
  <c r="I20" i="2"/>
  <c r="I13" i="1" s="1"/>
  <c r="K13" i="1" s="1"/>
  <c r="I54" i="2"/>
  <c r="I19" i="1" s="1"/>
  <c r="K19" i="1" s="1"/>
  <c r="I42" i="2"/>
  <c r="I17" i="1" s="1"/>
  <c r="K17" i="1" s="1"/>
  <c r="C32" i="1"/>
  <c r="C33" i="1"/>
  <c r="C34" i="1"/>
  <c r="C35" i="1"/>
  <c r="C36" i="1"/>
  <c r="C37" i="1"/>
  <c r="C38" i="1"/>
  <c r="C39" i="1"/>
  <c r="C14" i="1"/>
  <c r="C15" i="1"/>
  <c r="C16" i="1"/>
  <c r="C17" i="1"/>
  <c r="C18" i="1"/>
  <c r="C19" i="1"/>
  <c r="C20" i="1"/>
  <c r="C21" i="1"/>
  <c r="C13" i="1"/>
  <c r="K12" i="1" l="1"/>
  <c r="K29" i="1"/>
  <c r="C30" i="1"/>
  <c r="C40" i="1" l="1"/>
  <c r="M40" i="1" s="1"/>
  <c r="C31" i="1"/>
  <c r="C22" i="1"/>
  <c r="K41" i="1"/>
  <c r="G24" i="1"/>
  <c r="E24" i="1"/>
  <c r="C23" i="1" l="1"/>
  <c r="M24" i="1" s="1"/>
  <c r="M13" i="4"/>
  <c r="G21" i="4" l="1"/>
  <c r="J21" i="4" l="1"/>
  <c r="M21" i="4"/>
  <c r="M22" i="4" s="1"/>
  <c r="L33" i="4" s="1"/>
  <c r="I72" i="2"/>
  <c r="I67" i="2"/>
  <c r="I62" i="2"/>
  <c r="I56" i="2"/>
  <c r="L30" i="4" l="1"/>
  <c r="L35" i="4" s="1"/>
  <c r="J13" i="4"/>
  <c r="L34" i="4" s="1"/>
  <c r="G13" i="4"/>
  <c r="K48" i="1"/>
  <c r="I48" i="1"/>
  <c r="L36" i="4" l="1"/>
  <c r="G41" i="1"/>
  <c r="E41" i="1"/>
  <c r="L7" i="1" l="1"/>
  <c r="L6" i="1"/>
  <c r="I76" i="2"/>
  <c r="I70" i="2"/>
  <c r="I22" i="1" s="1"/>
  <c r="K22" i="1" s="1"/>
  <c r="I65" i="2"/>
  <c r="I21" i="1" s="1"/>
  <c r="K21" i="1" s="1"/>
  <c r="I60" i="2"/>
  <c r="I20" i="1" s="1"/>
  <c r="K20" i="1" s="1"/>
  <c r="I77" i="2" l="1"/>
  <c r="I23" i="1"/>
  <c r="K23" i="1" l="1"/>
  <c r="K24" i="1" s="1"/>
  <c r="K25" i="1" s="1"/>
  <c r="I24" i="1"/>
  <c r="M41" i="1"/>
  <c r="I7" i="3"/>
  <c r="I7" i="2" l="1"/>
  <c r="I41" i="1" l="1"/>
  <c r="K42" i="1"/>
  <c r="M55" i="1" s="1"/>
  <c r="M48" i="1"/>
  <c r="M54" i="1" s="1"/>
</calcChain>
</file>

<file path=xl/sharedStrings.xml><?xml version="1.0" encoding="utf-8"?>
<sst xmlns="http://schemas.openxmlformats.org/spreadsheetml/2006/main" count="348" uniqueCount="139">
  <si>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</si>
  <si>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</si>
  <si>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</si>
  <si>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</si>
  <si>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</si>
  <si>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</si>
  <si>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</si>
  <si>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</si>
  <si>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</si>
  <si>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</si>
  <si>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</si>
  <si>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</si>
  <si>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</si>
  <si>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</si>
  <si>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</si>
  <si>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</si>
  <si>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</si>
  <si>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</si>
  <si>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</si>
  <si>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</si>
  <si>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</si>
  <si>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</si>
  <si>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</si>
  <si>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</si>
  <si>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</si>
  <si>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</si>
  <si>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</si>
  <si>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</si>
  <si>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</si>
  <si>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</si>
  <si>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</si>
  <si>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</si>
  <si>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</si>
  <si>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</si>
  <si>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</si>
  <si>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</si>
  <si>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</si>
  <si>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</si>
  <si>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</si>
  <si>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</si>
  <si>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</si>
  <si>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</si>
  <si>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</si>
  <si>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</si>
  <si>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</si>
  <si>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</si>
  <si>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</si>
  <si>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</si>
  <si>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</si>
  <si>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</si>
  <si>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</si>
  <si>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</si>
  <si>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</si>
  <si>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</si>
  <si>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</si>
  <si>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</si>
  <si>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</si>
  <si>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</si>
  <si>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Сентябрь</t>
  </si>
  <si>
    <t>Октябрь</t>
  </si>
  <si>
    <t>Ноябрь</t>
  </si>
  <si>
    <t>Проверка вентканалов и дымоходов</t>
  </si>
  <si>
    <t>усл.</t>
  </si>
  <si>
    <t>Ремонт ОИ</t>
  </si>
  <si>
    <t>Содержание ОИ</t>
  </si>
  <si>
    <t>Управляющая компания ООО "УК "ЮгДомКомфорт" с  01.08.2022 г.</t>
  </si>
  <si>
    <t>Лицевой счет МКД по адресу: г. Таганрог, ул.  Ленина, д. 125-А</t>
  </si>
  <si>
    <t>S жилых помещений - 1090,54 м²</t>
  </si>
  <si>
    <t>Протокол №1 от 14 апреля 2022г.</t>
  </si>
  <si>
    <t>Содержание общего имущества МКД -3,52 руб.</t>
  </si>
  <si>
    <t>Ремонт общего имущества МКД - 3,26 руб.</t>
  </si>
  <si>
    <t>Управление многоквартирным домом - 2,58 руб.</t>
  </si>
  <si>
    <t>Содержание газовых сетей - 0,81 руб.</t>
  </si>
  <si>
    <t>Вознаграждение председателю МКД-3,00 руб.</t>
  </si>
  <si>
    <t>Тариф -13,17 руб.</t>
  </si>
  <si>
    <t>Приказ ГЖИ № 1315-Л  от 26.08.22г.</t>
  </si>
  <si>
    <t>Вознаграждение председателя Совета МКД</t>
  </si>
  <si>
    <t>Покос</t>
  </si>
  <si>
    <t>Закраска граффити на фасаде</t>
  </si>
  <si>
    <t>дома по адресу: Ростовская область, г. Таганрог, ул.Ленина, д. 125-А</t>
  </si>
  <si>
    <t>Должники на 01.09.2023г.</t>
  </si>
  <si>
    <t>Баланс дома на 01.09.2023г.</t>
  </si>
  <si>
    <t>Начисленно средств за 2023г.</t>
  </si>
  <si>
    <t>Оплачено средств за 2023г.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</si>
  <si>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</si>
  <si>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</si>
  <si>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</si>
  <si>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</si>
  <si>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</si>
  <si>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</si>
  <si>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</si>
  <si>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</si>
  <si>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Информация за 2023г.</t>
  </si>
  <si>
    <t>Задолженность на 31.12.2023г.</t>
  </si>
  <si>
    <t>за период с 01.01.2023г. по 31.12.2023г.</t>
  </si>
  <si>
    <t>Январь 2023г.</t>
  </si>
  <si>
    <t>ИТОГО январь 2023г.</t>
  </si>
  <si>
    <t>на доме № 125-А по ул. Ленина</t>
  </si>
  <si>
    <t>ОТЧЕТ ООО "Управляющая компания "ЮгДомКомфорт" за 2023г. перед собственниками</t>
  </si>
  <si>
    <t>с 01.01.2023г. по 31.12.2023г.</t>
  </si>
  <si>
    <t>30.11.2023г.</t>
  </si>
  <si>
    <t>Информационное обслуживание, раскрытие информаации на сайте ГИС ЖКХ</t>
  </si>
  <si>
    <t>31.01.2023г.</t>
  </si>
  <si>
    <t>28.02.2023г.</t>
  </si>
  <si>
    <t>Февраль 2023г.</t>
  </si>
  <si>
    <t>ИТОГО февраль 2023г.</t>
  </si>
  <si>
    <t>Март 2023г.</t>
  </si>
  <si>
    <t>ИТОГО март 2023г.</t>
  </si>
  <si>
    <t>31.03.2023г.</t>
  </si>
  <si>
    <t>Апрель 2023г.</t>
  </si>
  <si>
    <t>ИТОГО апрель 2023г.</t>
  </si>
  <si>
    <t>30.04.2023г.</t>
  </si>
  <si>
    <t>Май 2023г.</t>
  </si>
  <si>
    <t>ИТОГО май 2023г.</t>
  </si>
  <si>
    <t>31.05.2023г.</t>
  </si>
  <si>
    <t>Июнь 2023г.</t>
  </si>
  <si>
    <t>30.06.2023г.</t>
  </si>
  <si>
    <t>ИТОГО июнь 2023г.</t>
  </si>
  <si>
    <t>Июль 2023г.</t>
  </si>
  <si>
    <t>31.07.2023г.</t>
  </si>
  <si>
    <t>ИТОГО июль 2023г.</t>
  </si>
  <si>
    <t>Ремонт подъездного освещения</t>
  </si>
  <si>
    <t xml:space="preserve">ИТОГО за 2023г. </t>
  </si>
  <si>
    <t>Август 2023г.</t>
  </si>
  <si>
    <t>Обслуживание строительных конструкций и системы канализации</t>
  </si>
  <si>
    <t>31.08.2023г.</t>
  </si>
  <si>
    <t>ИТОГО август 2023г.</t>
  </si>
  <si>
    <t>Сентябрь 2023г.</t>
  </si>
  <si>
    <t>ИТОГО сентябрь 2023г.</t>
  </si>
  <si>
    <t>30.09.2023г.</t>
  </si>
  <si>
    <t>Октябрь 2023г.</t>
  </si>
  <si>
    <t>ИТОГО октябрь 2023г.</t>
  </si>
  <si>
    <t>31.10.2023г.</t>
  </si>
  <si>
    <t>Ноябрь 2023г.</t>
  </si>
  <si>
    <t>ИТОГО ноябрь 2023г.</t>
  </si>
  <si>
    <t>Декабрь 2023г.</t>
  </si>
  <si>
    <t>ИТОГО декабрь 2023г.</t>
  </si>
  <si>
    <t>31.12.2023г.</t>
  </si>
  <si>
    <t>ТО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</si>
</sst>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24" fillId="0" borderId="0" xfId="2" applyNumberFormat="1" applyFont="1" applyAlignment="1">
      <alignment horizontal="right" vertical="center" wrapText="1"/>
    </xf>
    <xf numFmtId="2" fontId="3" fillId="0" borderId="4" xfId="0" applyNumberFormat="1" applyFont="1" applyBorder="1"/>
    <xf numFmtId="1" fontId="22" fillId="0" borderId="4" xfId="0" applyNumberFormat="1" applyFont="1" applyBorder="1" applyAlignment="1">
      <alignment horizontal="left" vertical="top" wrapText="1"/>
    </xf>
    <xf numFmtId="14" fontId="15" fillId="0" borderId="4" xfId="2" applyNumberFormat="1" applyFont="1" applyBorder="1" applyAlignment="1">
      <alignment horizontal="center" vertical="center" wrapText="1"/>
    </xf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2" xfId="0" applyFont="1" applyBorder="1"/>
    <xf numFmtId="2" fontId="3" fillId="2" borderId="1" xfId="0" applyNumberFormat="1" applyFont="1" applyFill="1" applyBorder="1"/>
    <xf numFmtId="2" fontId="3" fillId="2" borderId="3" xfId="0" applyNumberFormat="1" applyFont="1" applyFill="1" applyBorder="1"/>
    <xf numFmtId="4" fontId="3" fillId="0" borderId="1" xfId="0" applyNumberFormat="1" applyFont="1" applyBorder="1"/>
    <xf numFmtId="0" fontId="3" fillId="0" borderId="3" xfId="0" applyFont="1" applyBorder="1"/>
    <xf numFmtId="4" fontId="3" fillId="0" borderId="3" xfId="0" applyNumberFormat="1" applyFont="1" applyBorder="1"/>
    <xf numFmtId="2" fontId="3" fillId="2" borderId="4" xfId="0" applyNumberFormat="1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3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2" fontId="8" fillId="0" borderId="4" xfId="0" applyNumberFormat="1" applyFont="1" applyBorder="1"/>
    <xf numFmtId="2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0" borderId="3" xfId="0" applyNumberFormat="1" applyFont="1" applyBorder="1"/>
    <xf numFmtId="2" fontId="8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59"/>
  <sheetViews>
    <sheetView tabSelected="1" showRuler="0" zoomScaleNormal="100" workbookViewId="0">
      <selection activeCell="N1" sqref="N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5" t="s">
        <v>66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x14ac:dyDescent="0.3">
      <c r="A2" s="59" t="s">
        <v>67</v>
      </c>
      <c r="B2" s="60"/>
      <c r="C2" s="60"/>
      <c r="D2" s="64"/>
      <c r="E2" s="59" t="s">
        <v>68</v>
      </c>
      <c r="F2" s="60"/>
      <c r="G2" s="60"/>
      <c r="H2" s="60"/>
      <c r="I2" s="64"/>
      <c r="J2" s="59" t="s">
        <v>75</v>
      </c>
      <c r="K2" s="60"/>
      <c r="L2" s="60"/>
      <c r="M2" s="64"/>
    </row>
    <row r="3" spans="1:13" x14ac:dyDescent="0.3">
      <c r="A3" s="59" t="s">
        <v>74</v>
      </c>
      <c r="B3" s="64"/>
      <c r="C3" s="59" t="s">
        <v>69</v>
      </c>
      <c r="D3" s="60"/>
      <c r="E3" s="60"/>
      <c r="F3" s="60"/>
      <c r="G3" s="60"/>
      <c r="H3" s="64"/>
      <c r="I3" s="59" t="s">
        <v>70</v>
      </c>
      <c r="J3" s="60"/>
      <c r="K3" s="60"/>
      <c r="L3" s="60"/>
      <c r="M3" s="64"/>
    </row>
    <row r="4" spans="1:13" x14ac:dyDescent="0.3">
      <c r="A4" s="59" t="s">
        <v>71</v>
      </c>
      <c r="B4" s="60"/>
      <c r="C4" s="60"/>
      <c r="D4" s="60"/>
      <c r="E4" s="60"/>
      <c r="F4" s="60"/>
      <c r="G4" s="64"/>
      <c r="H4" s="59" t="s">
        <v>72</v>
      </c>
      <c r="I4" s="60"/>
      <c r="J4" s="60"/>
      <c r="K4" s="60"/>
      <c r="L4" s="60"/>
      <c r="M4" s="64"/>
    </row>
    <row r="5" spans="1:13" x14ac:dyDescent="0.3">
      <c r="A5" s="59" t="s">
        <v>73</v>
      </c>
      <c r="B5" s="60"/>
      <c r="C5" s="60"/>
      <c r="D5" s="60"/>
      <c r="E5" s="60"/>
      <c r="F5" s="60"/>
      <c r="G5" s="60"/>
      <c r="H5" s="58"/>
      <c r="I5" s="58"/>
      <c r="J5" s="58"/>
      <c r="K5" s="58"/>
      <c r="L5" s="58"/>
      <c r="M5" s="58"/>
    </row>
    <row r="6" spans="1:13" x14ac:dyDescent="0.3">
      <c r="A6" s="59" t="s">
        <v>80</v>
      </c>
      <c r="B6" s="60"/>
      <c r="C6" s="60"/>
      <c r="D6" s="64"/>
      <c r="E6" s="55">
        <v>18511.71</v>
      </c>
      <c r="F6" s="56"/>
      <c r="G6" s="59" t="s">
        <v>82</v>
      </c>
      <c r="H6" s="60"/>
      <c r="I6" s="60"/>
      <c r="J6" s="60"/>
      <c r="K6" s="64"/>
      <c r="L6" s="55">
        <f>E24+E41</f>
        <v>88726.32</v>
      </c>
      <c r="M6" s="56"/>
    </row>
    <row r="7" spans="1:13" x14ac:dyDescent="0.3">
      <c r="A7" s="59" t="s">
        <v>81</v>
      </c>
      <c r="B7" s="60"/>
      <c r="C7" s="60"/>
      <c r="D7" s="64"/>
      <c r="E7" s="55">
        <v>-7538.29</v>
      </c>
      <c r="F7" s="56"/>
      <c r="G7" s="59" t="s">
        <v>83</v>
      </c>
      <c r="H7" s="60"/>
      <c r="I7" s="60"/>
      <c r="J7" s="60"/>
      <c r="K7" s="64"/>
      <c r="L7" s="55">
        <f>G24+G41</f>
        <v>85442.48</v>
      </c>
      <c r="M7" s="64"/>
    </row>
    <row r="8" spans="1:13" x14ac:dyDescent="0.3">
      <c r="A8" s="96" t="s">
        <v>92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</row>
    <row r="9" spans="1:13" x14ac:dyDescent="0.3">
      <c r="A9" s="75" t="s">
        <v>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</row>
    <row r="10" spans="1:13" ht="14.25" customHeight="1" x14ac:dyDescent="0.3">
      <c r="A10" s="59" t="s">
        <v>54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55">
        <v>-17107.830000000002</v>
      </c>
      <c r="M10" s="56"/>
    </row>
    <row r="11" spans="1:13" ht="54.75" customHeight="1" x14ac:dyDescent="0.3">
      <c r="A11" s="78" t="s">
        <v>1</v>
      </c>
      <c r="B11" s="78"/>
      <c r="C11" s="79" t="s">
        <v>6</v>
      </c>
      <c r="D11" s="78"/>
      <c r="E11" s="79" t="s">
        <v>2</v>
      </c>
      <c r="F11" s="78"/>
      <c r="G11" s="79" t="s">
        <v>3</v>
      </c>
      <c r="H11" s="79"/>
      <c r="I11" s="80" t="s">
        <v>4</v>
      </c>
      <c r="J11" s="80"/>
      <c r="K11" s="81" t="s">
        <v>5</v>
      </c>
      <c r="L11" s="82"/>
      <c r="M11" s="2" t="s">
        <v>8</v>
      </c>
    </row>
    <row r="12" spans="1:13" x14ac:dyDescent="0.3">
      <c r="A12" s="58" t="s">
        <v>84</v>
      </c>
      <c r="B12" s="58"/>
      <c r="C12" s="55">
        <v>5022.04</v>
      </c>
      <c r="D12" s="56"/>
      <c r="E12" s="55">
        <v>3838.71</v>
      </c>
      <c r="F12" s="56"/>
      <c r="G12" s="55">
        <v>3339.33</v>
      </c>
      <c r="H12" s="56"/>
      <c r="I12" s="63">
        <f>'СОДЕРЖАНИЕ ЖИЛЬЯ'!I14</f>
        <v>3465.6432400000003</v>
      </c>
      <c r="J12" s="64"/>
      <c r="K12" s="57">
        <f>G12-I12</f>
        <v>-126.31324000000041</v>
      </c>
      <c r="L12" s="58"/>
      <c r="M12" s="50">
        <v>5521.45</v>
      </c>
    </row>
    <row r="13" spans="1:13" x14ac:dyDescent="0.3">
      <c r="A13" s="58" t="s">
        <v>85</v>
      </c>
      <c r="B13" s="58"/>
      <c r="C13" s="55">
        <f>M12</f>
        <v>5521.45</v>
      </c>
      <c r="D13" s="56"/>
      <c r="E13" s="55">
        <v>3838.71</v>
      </c>
      <c r="F13" s="56"/>
      <c r="G13" s="55">
        <v>2865.52</v>
      </c>
      <c r="H13" s="56"/>
      <c r="I13" s="63">
        <f>'СОДЕРЖАНИЕ ЖИЛЬЯ'!I20</f>
        <v>7419.4745900000007</v>
      </c>
      <c r="J13" s="65"/>
      <c r="K13" s="57">
        <f t="shared" ref="K13:K23" si="0">G13-I13</f>
        <v>-4553.9545900000012</v>
      </c>
      <c r="L13" s="58"/>
      <c r="M13" s="50">
        <v>6494.68</v>
      </c>
    </row>
    <row r="14" spans="1:13" x14ac:dyDescent="0.3">
      <c r="A14" s="58" t="s">
        <v>86</v>
      </c>
      <c r="B14" s="58"/>
      <c r="C14" s="55">
        <f t="shared" ref="C14:C23" si="1">M13</f>
        <v>6494.68</v>
      </c>
      <c r="D14" s="56"/>
      <c r="E14" s="55">
        <v>3838.71</v>
      </c>
      <c r="F14" s="56"/>
      <c r="G14" s="55">
        <v>3132</v>
      </c>
      <c r="H14" s="56"/>
      <c r="I14" s="63">
        <f>'СОДЕРЖАНИЕ ЖИЛЬЯ'!I26</f>
        <v>6665.470440000001</v>
      </c>
      <c r="J14" s="65"/>
      <c r="K14" s="57">
        <f t="shared" si="0"/>
        <v>-3533.470440000001</v>
      </c>
      <c r="L14" s="58"/>
      <c r="M14" s="50">
        <v>7201.32</v>
      </c>
    </row>
    <row r="15" spans="1:13" x14ac:dyDescent="0.3">
      <c r="A15" s="58" t="s">
        <v>87</v>
      </c>
      <c r="B15" s="58"/>
      <c r="C15" s="55">
        <f t="shared" si="1"/>
        <v>7201.32</v>
      </c>
      <c r="D15" s="56"/>
      <c r="E15" s="55">
        <v>3838.71</v>
      </c>
      <c r="F15" s="56"/>
      <c r="G15" s="55">
        <v>2726.36</v>
      </c>
      <c r="H15" s="56"/>
      <c r="I15" s="63">
        <f>'СОДЕРЖАНИЕ ЖИЛЬЯ'!I31</f>
        <v>3429.4984400000003</v>
      </c>
      <c r="J15" s="65"/>
      <c r="K15" s="57">
        <f t="shared" si="0"/>
        <v>-703.13844000000017</v>
      </c>
      <c r="L15" s="58"/>
      <c r="M15" s="50">
        <v>8313.7000000000007</v>
      </c>
    </row>
    <row r="16" spans="1:13" x14ac:dyDescent="0.3">
      <c r="A16" s="58" t="s">
        <v>88</v>
      </c>
      <c r="B16" s="58"/>
      <c r="C16" s="55">
        <f t="shared" si="1"/>
        <v>8313.7000000000007</v>
      </c>
      <c r="D16" s="56"/>
      <c r="E16" s="55">
        <v>3838.71</v>
      </c>
      <c r="F16" s="56"/>
      <c r="G16" s="55">
        <v>4147.84</v>
      </c>
      <c r="H16" s="56"/>
      <c r="I16" s="63">
        <f>'СОДЕРЖАНИЕ ЖИЛЬЯ'!I37</f>
        <v>6913.4168400000008</v>
      </c>
      <c r="J16" s="65"/>
      <c r="K16" s="57">
        <f t="shared" si="0"/>
        <v>-2765.5768400000006</v>
      </c>
      <c r="L16" s="58"/>
      <c r="M16" s="50">
        <v>8004.61</v>
      </c>
    </row>
    <row r="17" spans="1:13" x14ac:dyDescent="0.3">
      <c r="A17" s="58" t="s">
        <v>89</v>
      </c>
      <c r="B17" s="58"/>
      <c r="C17" s="55">
        <f t="shared" si="1"/>
        <v>8004.61</v>
      </c>
      <c r="D17" s="56"/>
      <c r="E17" s="55">
        <v>3838.71</v>
      </c>
      <c r="F17" s="56"/>
      <c r="G17" s="55">
        <v>2713.45</v>
      </c>
      <c r="H17" s="56"/>
      <c r="I17" s="63">
        <f>'СОДЕРЖАНИЕ ЖИЛЬЯ'!I42</f>
        <v>3428.7317200000002</v>
      </c>
      <c r="J17" s="65"/>
      <c r="K17" s="57">
        <f t="shared" si="0"/>
        <v>-715.2817200000004</v>
      </c>
      <c r="L17" s="58"/>
      <c r="M17" s="50">
        <v>9129.9</v>
      </c>
    </row>
    <row r="18" spans="1:13" x14ac:dyDescent="0.3">
      <c r="A18" s="58" t="s">
        <v>90</v>
      </c>
      <c r="B18" s="58"/>
      <c r="C18" s="55">
        <f t="shared" si="1"/>
        <v>9129.9</v>
      </c>
      <c r="D18" s="56"/>
      <c r="E18" s="55">
        <v>3838.71</v>
      </c>
      <c r="F18" s="56"/>
      <c r="G18" s="55">
        <v>6227.76</v>
      </c>
      <c r="H18" s="56"/>
      <c r="I18" s="63">
        <f>'СОДЕРЖАНИЕ ЖИЛЬЯ'!I48</f>
        <v>4836.224040000001</v>
      </c>
      <c r="J18" s="65"/>
      <c r="K18" s="57">
        <f t="shared" si="0"/>
        <v>1391.5359599999992</v>
      </c>
      <c r="L18" s="58"/>
      <c r="M18" s="50">
        <v>6740.93</v>
      </c>
    </row>
    <row r="19" spans="1:13" x14ac:dyDescent="0.3">
      <c r="A19" s="58" t="s">
        <v>91</v>
      </c>
      <c r="B19" s="58"/>
      <c r="C19" s="55">
        <f t="shared" si="1"/>
        <v>6740.93</v>
      </c>
      <c r="D19" s="56"/>
      <c r="E19" s="55">
        <v>3838.71</v>
      </c>
      <c r="F19" s="56"/>
      <c r="G19" s="55">
        <v>3273.17</v>
      </c>
      <c r="H19" s="56"/>
      <c r="I19" s="63">
        <f>'СОДЕРЖАНИЕ ЖИЛЬЯ'!I54</f>
        <v>7781.8118800000002</v>
      </c>
      <c r="J19" s="65"/>
      <c r="K19" s="57">
        <f t="shared" si="0"/>
        <v>-4508.6418800000001</v>
      </c>
      <c r="L19" s="58"/>
      <c r="M19" s="50">
        <v>7306.47</v>
      </c>
    </row>
    <row r="20" spans="1:13" x14ac:dyDescent="0.3">
      <c r="A20" s="58" t="s">
        <v>58</v>
      </c>
      <c r="B20" s="58"/>
      <c r="C20" s="55">
        <f t="shared" si="1"/>
        <v>7306.47</v>
      </c>
      <c r="D20" s="56"/>
      <c r="E20" s="55">
        <v>3838.71</v>
      </c>
      <c r="F20" s="56"/>
      <c r="G20" s="55">
        <v>2437.87</v>
      </c>
      <c r="H20" s="56"/>
      <c r="I20" s="63">
        <f>'СОДЕРЖАНИЕ ЖИЛЬЯ'!I60</f>
        <v>5302.4488400000009</v>
      </c>
      <c r="J20" s="65"/>
      <c r="K20" s="57">
        <f t="shared" si="0"/>
        <v>-2864.578840000001</v>
      </c>
      <c r="L20" s="58"/>
      <c r="M20" s="50">
        <v>8707.34</v>
      </c>
    </row>
    <row r="21" spans="1:13" x14ac:dyDescent="0.3">
      <c r="A21" s="58" t="s">
        <v>59</v>
      </c>
      <c r="B21" s="58"/>
      <c r="C21" s="55">
        <f t="shared" si="1"/>
        <v>8707.34</v>
      </c>
      <c r="D21" s="56"/>
      <c r="E21" s="55">
        <v>3838.71</v>
      </c>
      <c r="F21" s="56"/>
      <c r="G21" s="55">
        <v>5963.91</v>
      </c>
      <c r="H21" s="56"/>
      <c r="I21" s="63">
        <f>'СОДЕРЖАНИЕ ЖИЛЬЯ'!I65</f>
        <v>3620.8266000000003</v>
      </c>
      <c r="J21" s="64"/>
      <c r="K21" s="57">
        <f t="shared" si="0"/>
        <v>2343.0833999999995</v>
      </c>
      <c r="L21" s="58"/>
      <c r="M21" s="50">
        <v>6582.17</v>
      </c>
    </row>
    <row r="22" spans="1:13" x14ac:dyDescent="0.3">
      <c r="A22" s="58" t="s">
        <v>60</v>
      </c>
      <c r="B22" s="58"/>
      <c r="C22" s="55">
        <f t="shared" si="1"/>
        <v>6582.17</v>
      </c>
      <c r="D22" s="56"/>
      <c r="E22" s="55">
        <v>3838.71</v>
      </c>
      <c r="F22" s="56"/>
      <c r="G22" s="55">
        <v>3703.85</v>
      </c>
      <c r="H22" s="56"/>
      <c r="I22" s="63">
        <f>'СОДЕРЖАНИЕ ЖИЛЬЯ'!I70</f>
        <v>3496.0344400000004</v>
      </c>
      <c r="J22" s="64"/>
      <c r="K22" s="57">
        <f t="shared" si="0"/>
        <v>207.81555999999955</v>
      </c>
      <c r="L22" s="58"/>
      <c r="M22" s="50">
        <v>6716.79</v>
      </c>
    </row>
    <row r="23" spans="1:13" x14ac:dyDescent="0.3">
      <c r="A23" s="58" t="s">
        <v>7</v>
      </c>
      <c r="B23" s="58"/>
      <c r="C23" s="55">
        <f t="shared" si="1"/>
        <v>6716.79</v>
      </c>
      <c r="D23" s="56"/>
      <c r="E23" s="55">
        <v>3838.71</v>
      </c>
      <c r="F23" s="56"/>
      <c r="G23" s="55">
        <v>3828.56</v>
      </c>
      <c r="H23" s="56"/>
      <c r="I23" s="63">
        <f>'СОДЕРЖАНИЕ ЖИЛЬЯ'!I76</f>
        <v>8900.4882800000014</v>
      </c>
      <c r="J23" s="64"/>
      <c r="K23" s="57">
        <f t="shared" si="0"/>
        <v>-5071.9282800000019</v>
      </c>
      <c r="L23" s="58"/>
      <c r="M23" s="50">
        <v>6726.94</v>
      </c>
    </row>
    <row r="24" spans="1:13" x14ac:dyDescent="0.3">
      <c r="A24" s="88" t="s">
        <v>9</v>
      </c>
      <c r="B24" s="88"/>
      <c r="C24" s="89"/>
      <c r="D24" s="90"/>
      <c r="E24" s="66">
        <f>SUM(E12:E23)</f>
        <v>46064.52</v>
      </c>
      <c r="F24" s="88"/>
      <c r="G24" s="66">
        <f>SUM(G12:G23)</f>
        <v>44359.619999999995</v>
      </c>
      <c r="H24" s="66"/>
      <c r="I24" s="66">
        <f>SUM(I12:I23)</f>
        <v>65260.06935000002</v>
      </c>
      <c r="J24" s="66"/>
      <c r="K24" s="61">
        <f>SUM(K12:K23)</f>
        <v>-20900.44935000001</v>
      </c>
      <c r="L24" s="62"/>
      <c r="M24" s="3">
        <f>M23</f>
        <v>6726.94</v>
      </c>
    </row>
    <row r="25" spans="1:13" x14ac:dyDescent="0.3">
      <c r="A25" s="59" t="s">
        <v>57</v>
      </c>
      <c r="B25" s="60"/>
      <c r="C25" s="60"/>
      <c r="D25" s="60"/>
      <c r="E25" s="60"/>
      <c r="F25" s="60"/>
      <c r="G25" s="60"/>
      <c r="H25" s="60"/>
      <c r="I25" s="60"/>
      <c r="J25" s="60"/>
      <c r="K25" s="57">
        <f>L10+K24</f>
        <v>-38008.279350000012</v>
      </c>
      <c r="L25" s="57"/>
      <c r="M25" s="39"/>
    </row>
    <row r="26" spans="1:13" x14ac:dyDescent="0.3">
      <c r="A26" s="75" t="s">
        <v>10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</row>
    <row r="27" spans="1:13" x14ac:dyDescent="0.3">
      <c r="A27" s="59" t="s">
        <v>55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5">
        <v>9569.5400000000009</v>
      </c>
      <c r="M27" s="56"/>
    </row>
    <row r="28" spans="1:13" ht="53.25" customHeight="1" x14ac:dyDescent="0.3">
      <c r="A28" s="78" t="s">
        <v>1</v>
      </c>
      <c r="B28" s="78"/>
      <c r="C28" s="79" t="s">
        <v>6</v>
      </c>
      <c r="D28" s="78"/>
      <c r="E28" s="79" t="s">
        <v>2</v>
      </c>
      <c r="F28" s="78"/>
      <c r="G28" s="79" t="s">
        <v>3</v>
      </c>
      <c r="H28" s="79"/>
      <c r="I28" s="80" t="s">
        <v>4</v>
      </c>
      <c r="J28" s="80"/>
      <c r="K28" s="81" t="s">
        <v>5</v>
      </c>
      <c r="L28" s="82"/>
      <c r="M28" s="2" t="s">
        <v>8</v>
      </c>
    </row>
    <row r="29" spans="1:13" x14ac:dyDescent="0.3">
      <c r="A29" s="58" t="s">
        <v>84</v>
      </c>
      <c r="B29" s="58"/>
      <c r="C29" s="55">
        <v>4651.0600000000004</v>
      </c>
      <c r="D29" s="56"/>
      <c r="E29" s="55">
        <v>3555.15</v>
      </c>
      <c r="F29" s="56"/>
      <c r="G29" s="55">
        <v>3092.62</v>
      </c>
      <c r="H29" s="56"/>
      <c r="I29" s="57">
        <v>0</v>
      </c>
      <c r="J29" s="57"/>
      <c r="K29" s="57">
        <f>G29-I29</f>
        <v>3092.62</v>
      </c>
      <c r="L29" s="58"/>
      <c r="M29" s="50">
        <v>5113.62</v>
      </c>
    </row>
    <row r="30" spans="1:13" x14ac:dyDescent="0.3">
      <c r="A30" s="58" t="s">
        <v>85</v>
      </c>
      <c r="B30" s="58"/>
      <c r="C30" s="55">
        <f>M29</f>
        <v>5113.62</v>
      </c>
      <c r="D30" s="56"/>
      <c r="E30" s="55">
        <v>3555.15</v>
      </c>
      <c r="F30" s="56"/>
      <c r="G30" s="55">
        <v>2653.87</v>
      </c>
      <c r="H30" s="56"/>
      <c r="I30" s="57">
        <v>0</v>
      </c>
      <c r="J30" s="57"/>
      <c r="K30" s="57">
        <f t="shared" ref="K30:K40" si="2">G30-I30</f>
        <v>2653.87</v>
      </c>
      <c r="L30" s="58"/>
      <c r="M30" s="50">
        <v>6014.94</v>
      </c>
    </row>
    <row r="31" spans="1:13" x14ac:dyDescent="0.3">
      <c r="A31" s="58" t="s">
        <v>86</v>
      </c>
      <c r="B31" s="58"/>
      <c r="C31" s="55">
        <f t="shared" ref="C31:C40" si="3">M30</f>
        <v>6014.94</v>
      </c>
      <c r="D31" s="56"/>
      <c r="E31" s="55">
        <v>3555.15</v>
      </c>
      <c r="F31" s="56"/>
      <c r="G31" s="55">
        <v>2900.63</v>
      </c>
      <c r="H31" s="56"/>
      <c r="I31" s="55">
        <v>0</v>
      </c>
      <c r="J31" s="56"/>
      <c r="K31" s="57">
        <f t="shared" si="2"/>
        <v>2900.63</v>
      </c>
      <c r="L31" s="58"/>
      <c r="M31" s="50">
        <v>6669.39</v>
      </c>
    </row>
    <row r="32" spans="1:13" x14ac:dyDescent="0.3">
      <c r="A32" s="58" t="s">
        <v>87</v>
      </c>
      <c r="B32" s="58"/>
      <c r="C32" s="55">
        <f t="shared" si="3"/>
        <v>6669.39</v>
      </c>
      <c r="D32" s="56"/>
      <c r="E32" s="55">
        <v>3555.15</v>
      </c>
      <c r="F32" s="56"/>
      <c r="G32" s="63">
        <v>2524.98</v>
      </c>
      <c r="H32" s="64"/>
      <c r="I32" s="55">
        <v>0</v>
      </c>
      <c r="J32" s="56"/>
      <c r="K32" s="57">
        <f t="shared" si="2"/>
        <v>2524.98</v>
      </c>
      <c r="L32" s="58"/>
      <c r="M32" s="50">
        <v>7699.59</v>
      </c>
    </row>
    <row r="33" spans="1:16" x14ac:dyDescent="0.3">
      <c r="A33" s="58" t="s">
        <v>88</v>
      </c>
      <c r="B33" s="58"/>
      <c r="C33" s="55">
        <f t="shared" si="3"/>
        <v>7699.59</v>
      </c>
      <c r="D33" s="56"/>
      <c r="E33" s="55">
        <v>3555.15</v>
      </c>
      <c r="F33" s="56"/>
      <c r="G33" s="63">
        <v>3841.44</v>
      </c>
      <c r="H33" s="64"/>
      <c r="I33" s="55">
        <v>0</v>
      </c>
      <c r="J33" s="56"/>
      <c r="K33" s="57">
        <f t="shared" si="2"/>
        <v>3841.44</v>
      </c>
      <c r="L33" s="58"/>
      <c r="M33" s="50">
        <v>7413.34</v>
      </c>
    </row>
    <row r="34" spans="1:16" x14ac:dyDescent="0.3">
      <c r="A34" s="58" t="s">
        <v>89</v>
      </c>
      <c r="B34" s="58"/>
      <c r="C34" s="55">
        <f t="shared" si="3"/>
        <v>7413.34</v>
      </c>
      <c r="D34" s="56"/>
      <c r="E34" s="55">
        <v>3555.15</v>
      </c>
      <c r="F34" s="56"/>
      <c r="G34" s="63">
        <v>2513.0100000000002</v>
      </c>
      <c r="H34" s="64"/>
      <c r="I34" s="55">
        <v>0</v>
      </c>
      <c r="J34" s="56"/>
      <c r="K34" s="57">
        <f t="shared" si="2"/>
        <v>2513.0100000000002</v>
      </c>
      <c r="L34" s="58"/>
      <c r="M34" s="50">
        <v>8455.51</v>
      </c>
    </row>
    <row r="35" spans="1:16" x14ac:dyDescent="0.3">
      <c r="A35" s="58" t="s">
        <v>90</v>
      </c>
      <c r="B35" s="58"/>
      <c r="C35" s="55">
        <f t="shared" si="3"/>
        <v>8455.51</v>
      </c>
      <c r="D35" s="56"/>
      <c r="E35" s="55">
        <v>3555.15</v>
      </c>
      <c r="F35" s="56"/>
      <c r="G35" s="63">
        <v>5767.7</v>
      </c>
      <c r="H35" s="64"/>
      <c r="I35" s="63">
        <f>'РЕМОНТ ЖИЛЬЯ'!I12</f>
        <v>4252</v>
      </c>
      <c r="J35" s="64"/>
      <c r="K35" s="57">
        <f t="shared" si="2"/>
        <v>1515.6999999999998</v>
      </c>
      <c r="L35" s="58"/>
      <c r="M35" s="50">
        <v>6242.99</v>
      </c>
    </row>
    <row r="36" spans="1:16" x14ac:dyDescent="0.3">
      <c r="A36" s="58" t="s">
        <v>91</v>
      </c>
      <c r="B36" s="58"/>
      <c r="C36" s="55">
        <f t="shared" si="3"/>
        <v>6242.99</v>
      </c>
      <c r="D36" s="56"/>
      <c r="E36" s="55">
        <v>3555.15</v>
      </c>
      <c r="F36" s="56"/>
      <c r="G36" s="63">
        <v>3031.43</v>
      </c>
      <c r="H36" s="64"/>
      <c r="I36" s="55">
        <v>0</v>
      </c>
      <c r="J36" s="56"/>
      <c r="K36" s="57">
        <f t="shared" si="2"/>
        <v>3031.43</v>
      </c>
      <c r="L36" s="58"/>
      <c r="M36" s="50">
        <v>6766.74</v>
      </c>
    </row>
    <row r="37" spans="1:16" x14ac:dyDescent="0.3">
      <c r="A37" s="58" t="s">
        <v>58</v>
      </c>
      <c r="B37" s="58"/>
      <c r="C37" s="55">
        <f t="shared" si="3"/>
        <v>6766.74</v>
      </c>
      <c r="D37" s="56"/>
      <c r="E37" s="55">
        <v>3555.15</v>
      </c>
      <c r="F37" s="56"/>
      <c r="G37" s="63">
        <v>2257.8000000000002</v>
      </c>
      <c r="H37" s="64"/>
      <c r="I37" s="55">
        <v>0</v>
      </c>
      <c r="J37" s="56"/>
      <c r="K37" s="57">
        <f t="shared" si="2"/>
        <v>2257.8000000000002</v>
      </c>
      <c r="L37" s="58"/>
      <c r="M37" s="50">
        <v>8064.13</v>
      </c>
    </row>
    <row r="38" spans="1:16" x14ac:dyDescent="0.3">
      <c r="A38" s="58" t="s">
        <v>59</v>
      </c>
      <c r="B38" s="58"/>
      <c r="C38" s="55">
        <f t="shared" si="3"/>
        <v>8064.13</v>
      </c>
      <c r="D38" s="56"/>
      <c r="E38" s="55">
        <v>3555.15</v>
      </c>
      <c r="F38" s="56"/>
      <c r="G38" s="63">
        <v>5523.35</v>
      </c>
      <c r="H38" s="64"/>
      <c r="I38" s="55">
        <v>0</v>
      </c>
      <c r="J38" s="56"/>
      <c r="K38" s="57">
        <f t="shared" si="2"/>
        <v>5523.35</v>
      </c>
      <c r="L38" s="58"/>
      <c r="M38" s="50">
        <v>6095.96</v>
      </c>
    </row>
    <row r="39" spans="1:16" x14ac:dyDescent="0.3">
      <c r="A39" s="58" t="s">
        <v>60</v>
      </c>
      <c r="B39" s="58"/>
      <c r="C39" s="55">
        <f t="shared" si="3"/>
        <v>6095.96</v>
      </c>
      <c r="D39" s="56"/>
      <c r="E39" s="55">
        <v>3555.15</v>
      </c>
      <c r="F39" s="56"/>
      <c r="G39" s="55">
        <v>3430.26</v>
      </c>
      <c r="H39" s="56"/>
      <c r="I39" s="55">
        <v>0</v>
      </c>
      <c r="J39" s="56"/>
      <c r="K39" s="57">
        <f t="shared" si="2"/>
        <v>3430.26</v>
      </c>
      <c r="L39" s="58"/>
      <c r="M39" s="50">
        <v>6220.62</v>
      </c>
    </row>
    <row r="40" spans="1:16" x14ac:dyDescent="0.3">
      <c r="A40" s="58" t="s">
        <v>7</v>
      </c>
      <c r="B40" s="58"/>
      <c r="C40" s="55">
        <f t="shared" si="3"/>
        <v>6220.62</v>
      </c>
      <c r="D40" s="56"/>
      <c r="E40" s="55">
        <v>3555.15</v>
      </c>
      <c r="F40" s="56"/>
      <c r="G40" s="55">
        <v>3545.77</v>
      </c>
      <c r="H40" s="56"/>
      <c r="I40" s="55">
        <v>0</v>
      </c>
      <c r="J40" s="56"/>
      <c r="K40" s="57">
        <f t="shared" si="2"/>
        <v>3545.77</v>
      </c>
      <c r="L40" s="58"/>
      <c r="M40" s="50">
        <f t="shared" ref="M40" si="4">C40+E40-G40</f>
        <v>6230</v>
      </c>
    </row>
    <row r="41" spans="1:16" x14ac:dyDescent="0.3">
      <c r="A41" s="88" t="s">
        <v>9</v>
      </c>
      <c r="B41" s="88"/>
      <c r="C41" s="89"/>
      <c r="D41" s="90"/>
      <c r="E41" s="66">
        <f>SUM(E29:E40)</f>
        <v>42661.80000000001</v>
      </c>
      <c r="F41" s="88"/>
      <c r="G41" s="66">
        <f>SUM(G29:G40)</f>
        <v>41082.86</v>
      </c>
      <c r="H41" s="66"/>
      <c r="I41" s="66">
        <f>SUM(I29:I40)</f>
        <v>4252</v>
      </c>
      <c r="J41" s="66"/>
      <c r="K41" s="66">
        <f>SUM(K29:K40)</f>
        <v>36830.86</v>
      </c>
      <c r="L41" s="66"/>
      <c r="M41" s="3">
        <f>M40</f>
        <v>6230</v>
      </c>
      <c r="O41" s="42"/>
      <c r="P41" s="42"/>
    </row>
    <row r="42" spans="1:16" x14ac:dyDescent="0.3">
      <c r="A42" s="59" t="s">
        <v>57</v>
      </c>
      <c r="B42" s="60"/>
      <c r="C42" s="60"/>
      <c r="D42" s="60"/>
      <c r="E42" s="60"/>
      <c r="F42" s="60"/>
      <c r="G42" s="60"/>
      <c r="H42" s="60"/>
      <c r="I42" s="60"/>
      <c r="J42" s="60"/>
      <c r="K42" s="53">
        <f>L27+K41</f>
        <v>46400.4</v>
      </c>
      <c r="L42" s="54"/>
      <c r="M42" s="3"/>
    </row>
    <row r="43" spans="1:16" x14ac:dyDescent="0.3">
      <c r="A43" s="93" t="s">
        <v>11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P43" s="42"/>
    </row>
    <row r="44" spans="1:16" ht="52.5" customHeight="1" x14ac:dyDescent="0.3">
      <c r="A44" s="96" t="s">
        <v>12</v>
      </c>
      <c r="B44" s="97"/>
      <c r="C44" s="97"/>
      <c r="D44" s="98"/>
      <c r="E44" s="68" t="s">
        <v>6</v>
      </c>
      <c r="F44" s="69"/>
      <c r="G44" s="69"/>
      <c r="H44" s="70"/>
      <c r="I44" s="79" t="s">
        <v>2</v>
      </c>
      <c r="J44" s="78"/>
      <c r="K44" s="79" t="s">
        <v>3</v>
      </c>
      <c r="L44" s="79"/>
      <c r="M44" s="2" t="s">
        <v>8</v>
      </c>
    </row>
    <row r="45" spans="1:16" ht="17.25" customHeight="1" x14ac:dyDescent="0.3">
      <c r="A45" s="83" t="s">
        <v>13</v>
      </c>
      <c r="B45" s="84"/>
      <c r="C45" s="84"/>
      <c r="D45" s="85"/>
      <c r="E45" s="71">
        <v>235.62</v>
      </c>
      <c r="F45" s="72"/>
      <c r="G45" s="72"/>
      <c r="H45" s="73"/>
      <c r="I45" s="102">
        <f>186.08+186.08+186.08+186.08+186.08+186.08+186.08+186.08+186.08+186.08+578.24+263.6</f>
        <v>2702.64</v>
      </c>
      <c r="J45" s="103"/>
      <c r="K45" s="86">
        <f>160.83+138.92+151.84+132.16+199.96+131.5+299.31+158.64+118.18+289.04+263.77+459.39</f>
        <v>2503.54</v>
      </c>
      <c r="L45" s="87"/>
      <c r="M45" s="4">
        <v>434.72</v>
      </c>
    </row>
    <row r="46" spans="1:16" x14ac:dyDescent="0.3">
      <c r="A46" s="59" t="s">
        <v>14</v>
      </c>
      <c r="B46" s="60"/>
      <c r="C46" s="60"/>
      <c r="D46" s="64"/>
      <c r="E46" s="55">
        <v>104.82</v>
      </c>
      <c r="F46" s="74"/>
      <c r="G46" s="74"/>
      <c r="H46" s="56"/>
      <c r="I46" s="59">
        <f>82.77+82.77+82.77+82.77+82.77+82.77+82.77+82.77+82.77+82.77+82.77+82.77</f>
        <v>993.2399999999999</v>
      </c>
      <c r="J46" s="64"/>
      <c r="K46" s="55">
        <f>71.56+61.79+67.54+58.79+88.95+58.48+133.16+70.56+52.56+128.61+79.64+82.55</f>
        <v>954.18999999999983</v>
      </c>
      <c r="L46" s="64"/>
      <c r="M46" s="4">
        <f t="shared" ref="M46" si="5">E46+I46-K46</f>
        <v>143.87000000000012</v>
      </c>
    </row>
    <row r="47" spans="1:16" x14ac:dyDescent="0.3">
      <c r="A47" s="59" t="s">
        <v>15</v>
      </c>
      <c r="B47" s="60"/>
      <c r="C47" s="60"/>
      <c r="D47" s="64"/>
      <c r="E47" s="55">
        <v>808.17</v>
      </c>
      <c r="F47" s="74"/>
      <c r="G47" s="74"/>
      <c r="H47" s="56"/>
      <c r="I47" s="59">
        <f>637.81+637.81+637.81+637.81+637.81+637.81+637.81+637.81+637.81+637.81+637.81</f>
        <v>7015.909999999998</v>
      </c>
      <c r="J47" s="64"/>
      <c r="K47" s="55">
        <f>551.36+476.11+520.39+453+685.37+450.71+1026.23+543.7+405.06+990.93+613.78+636.12</f>
        <v>7352.76</v>
      </c>
      <c r="L47" s="64"/>
      <c r="M47" s="4">
        <v>1109.1300000000001</v>
      </c>
    </row>
    <row r="48" spans="1:16" x14ac:dyDescent="0.3">
      <c r="A48" s="94"/>
      <c r="B48" s="110"/>
      <c r="C48" s="110"/>
      <c r="D48" s="95"/>
      <c r="E48" s="61"/>
      <c r="F48" s="104"/>
      <c r="G48" s="104"/>
      <c r="H48" s="62"/>
      <c r="I48" s="61">
        <f>SUM(I45:I47)</f>
        <v>10711.789999999997</v>
      </c>
      <c r="J48" s="95"/>
      <c r="K48" s="94">
        <f>SUM(K45:K47)</f>
        <v>10810.49</v>
      </c>
      <c r="L48" s="95"/>
      <c r="M48" s="3">
        <f>SUM(M45:M47)</f>
        <v>1687.7200000000003</v>
      </c>
    </row>
    <row r="49" spans="1:13" x14ac:dyDescent="0.3">
      <c r="A49" s="43"/>
      <c r="B49" s="44"/>
      <c r="C49" s="44"/>
      <c r="D49" s="45"/>
      <c r="E49" s="46"/>
      <c r="F49" s="47"/>
      <c r="G49" s="47"/>
      <c r="H49" s="39"/>
      <c r="I49" s="46"/>
      <c r="J49" s="45"/>
      <c r="K49" s="43"/>
      <c r="L49" s="45"/>
      <c r="M49" s="39"/>
    </row>
    <row r="50" spans="1:13" x14ac:dyDescent="0.3">
      <c r="A50" s="99" t="s">
        <v>76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1"/>
      <c r="M50" s="37">
        <v>5733.16</v>
      </c>
    </row>
    <row r="51" spans="1:13" x14ac:dyDescent="0.3">
      <c r="A51" s="67" t="s">
        <v>16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48">
        <v>3019.46</v>
      </c>
    </row>
    <row r="52" spans="1:13" x14ac:dyDescent="0.3">
      <c r="A52" s="99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1"/>
      <c r="M52" s="37">
        <v>1547.98</v>
      </c>
    </row>
    <row r="53" spans="1:13" x14ac:dyDescent="0.3">
      <c r="A53" s="105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7"/>
    </row>
    <row r="54" spans="1:13" ht="15.6" x14ac:dyDescent="0.3">
      <c r="A54" s="67" t="s">
        <v>93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">
        <f>M24+M41+M48+M50+M51+M52</f>
        <v>24945.26</v>
      </c>
    </row>
    <row r="55" spans="1:13" x14ac:dyDescent="0.3">
      <c r="A55" s="67" t="s">
        <v>17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36">
        <f>K42+K25</f>
        <v>8392.1206499999898</v>
      </c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">
      <c r="A58" s="91"/>
      <c r="B58" s="91"/>
      <c r="C58" s="91"/>
      <c r="D58" s="9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91"/>
      <c r="B59" s="91"/>
      <c r="C59" s="91"/>
      <c r="D59" s="91"/>
      <c r="K59" s="92"/>
      <c r="L59" s="92"/>
      <c r="M59" s="92"/>
    </row>
  </sheetData>
  <mergeCells count="228">
    <mergeCell ref="K31:L31"/>
    <mergeCell ref="K32:L32"/>
    <mergeCell ref="K33:L33"/>
    <mergeCell ref="K34:L34"/>
    <mergeCell ref="K35:L35"/>
    <mergeCell ref="K36:L36"/>
    <mergeCell ref="K37:L37"/>
    <mergeCell ref="K38:L38"/>
    <mergeCell ref="G38:H38"/>
    <mergeCell ref="I31:J31"/>
    <mergeCell ref="I32:J32"/>
    <mergeCell ref="I33:J33"/>
    <mergeCell ref="I34:J34"/>
    <mergeCell ref="I35:J35"/>
    <mergeCell ref="I36:J36"/>
    <mergeCell ref="I37:J37"/>
    <mergeCell ref="I38:J38"/>
    <mergeCell ref="I20:J20"/>
    <mergeCell ref="K13:L13"/>
    <mergeCell ref="K14:L14"/>
    <mergeCell ref="K15:L15"/>
    <mergeCell ref="K16:L16"/>
    <mergeCell ref="K17:L17"/>
    <mergeCell ref="K18:L18"/>
    <mergeCell ref="K19:L19"/>
    <mergeCell ref="K20:L20"/>
    <mergeCell ref="C14:D14"/>
    <mergeCell ref="C15:D15"/>
    <mergeCell ref="C16:D16"/>
    <mergeCell ref="C17:D17"/>
    <mergeCell ref="C18:D18"/>
    <mergeCell ref="C19:D19"/>
    <mergeCell ref="C20:D20"/>
    <mergeCell ref="E13:F13"/>
    <mergeCell ref="E14:F14"/>
    <mergeCell ref="E15:F15"/>
    <mergeCell ref="E16:F16"/>
    <mergeCell ref="E17:F17"/>
    <mergeCell ref="E18:F18"/>
    <mergeCell ref="E19:F19"/>
    <mergeCell ref="E20:F20"/>
    <mergeCell ref="A5:G5"/>
    <mergeCell ref="H5:M5"/>
    <mergeCell ref="A50:L50"/>
    <mergeCell ref="A46:D46"/>
    <mergeCell ref="A47:D47"/>
    <mergeCell ref="A48:D48"/>
    <mergeCell ref="E11:F11"/>
    <mergeCell ref="G11:H11"/>
    <mergeCell ref="L6:M6"/>
    <mergeCell ref="L7:M7"/>
    <mergeCell ref="A8:M8"/>
    <mergeCell ref="A9:M9"/>
    <mergeCell ref="K11:L11"/>
    <mergeCell ref="I11:J11"/>
    <mergeCell ref="L10:M10"/>
    <mergeCell ref="A10:K10"/>
    <mergeCell ref="A7:D7"/>
    <mergeCell ref="E7:F7"/>
    <mergeCell ref="G7:K7"/>
    <mergeCell ref="A6:D6"/>
    <mergeCell ref="E6:F6"/>
    <mergeCell ref="G6:K6"/>
    <mergeCell ref="A11:B11"/>
    <mergeCell ref="C11:D11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A58:D58"/>
    <mergeCell ref="A59:D59"/>
    <mergeCell ref="K59:M59"/>
    <mergeCell ref="K41:L41"/>
    <mergeCell ref="A43:M43"/>
    <mergeCell ref="A41:B41"/>
    <mergeCell ref="C41:D41"/>
    <mergeCell ref="E41:F41"/>
    <mergeCell ref="G41:H41"/>
    <mergeCell ref="I41:J41"/>
    <mergeCell ref="K44:L44"/>
    <mergeCell ref="K46:L46"/>
    <mergeCell ref="K47:L47"/>
    <mergeCell ref="K48:L48"/>
    <mergeCell ref="A44:D44"/>
    <mergeCell ref="A52:L52"/>
    <mergeCell ref="I45:J45"/>
    <mergeCell ref="E48:H48"/>
    <mergeCell ref="I44:J44"/>
    <mergeCell ref="A53:M53"/>
    <mergeCell ref="A51:L51"/>
    <mergeCell ref="I46:J46"/>
    <mergeCell ref="I48:J48"/>
    <mergeCell ref="A54:L54"/>
    <mergeCell ref="A55:L55"/>
    <mergeCell ref="A22:B22"/>
    <mergeCell ref="A23:B23"/>
    <mergeCell ref="E44:H44"/>
    <mergeCell ref="E45:H45"/>
    <mergeCell ref="E46:H46"/>
    <mergeCell ref="E47:H47"/>
    <mergeCell ref="A26:M26"/>
    <mergeCell ref="A27:K27"/>
    <mergeCell ref="L27:M27"/>
    <mergeCell ref="A28:B28"/>
    <mergeCell ref="C28:D28"/>
    <mergeCell ref="E28:F28"/>
    <mergeCell ref="G28:H28"/>
    <mergeCell ref="I28:J28"/>
    <mergeCell ref="K28:L28"/>
    <mergeCell ref="A45:D45"/>
    <mergeCell ref="K45:L45"/>
    <mergeCell ref="A24:B24"/>
    <mergeCell ref="C24:D24"/>
    <mergeCell ref="E24:F24"/>
    <mergeCell ref="A31:B31"/>
    <mergeCell ref="K23:L23"/>
    <mergeCell ref="A25:J25"/>
    <mergeCell ref="A12:B12"/>
    <mergeCell ref="A21:B21"/>
    <mergeCell ref="E22:F22"/>
    <mergeCell ref="E23:F23"/>
    <mergeCell ref="C21:D21"/>
    <mergeCell ref="C22:D22"/>
    <mergeCell ref="C23:D23"/>
    <mergeCell ref="C12:D12"/>
    <mergeCell ref="I47:J47"/>
    <mergeCell ref="A13:B13"/>
    <mergeCell ref="A14:B14"/>
    <mergeCell ref="A15:B15"/>
    <mergeCell ref="A16:B16"/>
    <mergeCell ref="A17:B17"/>
    <mergeCell ref="A18:B18"/>
    <mergeCell ref="A19:B19"/>
    <mergeCell ref="A20:B20"/>
    <mergeCell ref="C13:D13"/>
    <mergeCell ref="I12:J12"/>
    <mergeCell ref="I21:J21"/>
    <mergeCell ref="E12:F12"/>
    <mergeCell ref="E21:F21"/>
    <mergeCell ref="G24:H24"/>
    <mergeCell ref="I24:J24"/>
    <mergeCell ref="K12:L12"/>
    <mergeCell ref="K21:L21"/>
    <mergeCell ref="K22:L22"/>
    <mergeCell ref="I22:J22"/>
    <mergeCell ref="I23:J23"/>
    <mergeCell ref="G12:H12"/>
    <mergeCell ref="G21:H21"/>
    <mergeCell ref="G22:H22"/>
    <mergeCell ref="G13:H13"/>
    <mergeCell ref="G14:H14"/>
    <mergeCell ref="G15:H15"/>
    <mergeCell ref="G16:H16"/>
    <mergeCell ref="G17:H17"/>
    <mergeCell ref="G18:H18"/>
    <mergeCell ref="G19:H19"/>
    <mergeCell ref="G20:H20"/>
    <mergeCell ref="I13:J13"/>
    <mergeCell ref="G23:H23"/>
    <mergeCell ref="I14:J14"/>
    <mergeCell ref="I15:J15"/>
    <mergeCell ref="I16:J16"/>
    <mergeCell ref="I17:J17"/>
    <mergeCell ref="I18:J18"/>
    <mergeCell ref="I19:J19"/>
    <mergeCell ref="K25:L25"/>
    <mergeCell ref="K24:L24"/>
    <mergeCell ref="K29:L29"/>
    <mergeCell ref="K30:L30"/>
    <mergeCell ref="C30:D30"/>
    <mergeCell ref="C39:D39"/>
    <mergeCell ref="C40:D40"/>
    <mergeCell ref="C29:D29"/>
    <mergeCell ref="G29:H29"/>
    <mergeCell ref="G30:H30"/>
    <mergeCell ref="G39:H39"/>
    <mergeCell ref="G40:H40"/>
    <mergeCell ref="E34:F34"/>
    <mergeCell ref="E35:F35"/>
    <mergeCell ref="E36:F36"/>
    <mergeCell ref="E37:F37"/>
    <mergeCell ref="E38:F38"/>
    <mergeCell ref="G31:H31"/>
    <mergeCell ref="G32:H32"/>
    <mergeCell ref="G33:H33"/>
    <mergeCell ref="G34:H34"/>
    <mergeCell ref="G35:H35"/>
    <mergeCell ref="G36:H36"/>
    <mergeCell ref="G37:H37"/>
    <mergeCell ref="A32:B32"/>
    <mergeCell ref="A33:B33"/>
    <mergeCell ref="A34:B34"/>
    <mergeCell ref="A35:B35"/>
    <mergeCell ref="A36:B36"/>
    <mergeCell ref="A37:B37"/>
    <mergeCell ref="A38:B38"/>
    <mergeCell ref="C31:D31"/>
    <mergeCell ref="C32:D32"/>
    <mergeCell ref="C33:D33"/>
    <mergeCell ref="K42:L42"/>
    <mergeCell ref="I39:J39"/>
    <mergeCell ref="I40:J40"/>
    <mergeCell ref="K39:L39"/>
    <mergeCell ref="K40:L40"/>
    <mergeCell ref="I29:J29"/>
    <mergeCell ref="I30:J30"/>
    <mergeCell ref="A42:J42"/>
    <mergeCell ref="E39:F39"/>
    <mergeCell ref="E29:F29"/>
    <mergeCell ref="E30:F30"/>
    <mergeCell ref="A39:B39"/>
    <mergeCell ref="A40:B40"/>
    <mergeCell ref="A29:B29"/>
    <mergeCell ref="A30:B30"/>
    <mergeCell ref="E40:F40"/>
    <mergeCell ref="C34:D34"/>
    <mergeCell ref="C35:D35"/>
    <mergeCell ref="C36:D36"/>
    <mergeCell ref="C37:D37"/>
    <mergeCell ref="C38:D38"/>
    <mergeCell ref="E31:F31"/>
    <mergeCell ref="E32:F32"/>
    <mergeCell ref="E33:F33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P82"/>
  <sheetViews>
    <sheetView topLeftCell="A67" zoomScaleNormal="100" workbookViewId="0">
      <selection activeCell="A81" sqref="A81:I82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6" x14ac:dyDescent="0.3">
      <c r="B1" s="7"/>
      <c r="C1" s="8"/>
      <c r="D1" s="9"/>
      <c r="E1" s="10"/>
      <c r="F1" s="10"/>
      <c r="G1" s="7"/>
      <c r="H1" s="7"/>
    </row>
    <row r="2" spans="2:16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6" ht="18" x14ac:dyDescent="0.35">
      <c r="B3" s="12" t="s">
        <v>25</v>
      </c>
      <c r="C3" s="12"/>
      <c r="D3" s="13"/>
      <c r="E3" s="13"/>
      <c r="F3" s="13"/>
      <c r="G3" s="13"/>
      <c r="H3" s="14"/>
      <c r="I3" s="14"/>
    </row>
    <row r="4" spans="2:16" ht="18" x14ac:dyDescent="0.35">
      <c r="B4" s="12" t="s">
        <v>97</v>
      </c>
      <c r="C4" s="12"/>
      <c r="D4" s="15"/>
      <c r="E4" s="15"/>
      <c r="F4" s="12"/>
      <c r="G4" s="13"/>
      <c r="H4" s="14"/>
      <c r="I4" s="14"/>
    </row>
    <row r="5" spans="2:16" ht="18" x14ac:dyDescent="0.35">
      <c r="B5" s="12" t="s">
        <v>94</v>
      </c>
      <c r="C5" s="12"/>
      <c r="D5" s="15"/>
      <c r="E5" s="15"/>
      <c r="F5" s="12"/>
      <c r="G5" s="13"/>
      <c r="H5" s="14"/>
      <c r="I5" s="14"/>
    </row>
    <row r="6" spans="2:16" ht="18" x14ac:dyDescent="0.35">
      <c r="B6" s="27" t="s">
        <v>65</v>
      </c>
      <c r="C6" s="27"/>
      <c r="D6" s="28"/>
      <c r="E6" s="28"/>
      <c r="F6" s="27"/>
      <c r="G6" s="29"/>
      <c r="H6" s="29"/>
      <c r="I6" s="29"/>
      <c r="J6" s="30"/>
    </row>
    <row r="7" spans="2:16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6" ht="12.75" customHeight="1" x14ac:dyDescent="0.3">
      <c r="B8" s="126" t="s">
        <v>20</v>
      </c>
      <c r="C8" s="119" t="s">
        <v>27</v>
      </c>
      <c r="D8" s="124" t="s">
        <v>21</v>
      </c>
      <c r="E8" s="121"/>
      <c r="F8" s="119" t="s">
        <v>22</v>
      </c>
      <c r="G8" s="119" t="s">
        <v>23</v>
      </c>
      <c r="H8" s="119" t="s">
        <v>24</v>
      </c>
      <c r="I8" s="121" t="s">
        <v>26</v>
      </c>
    </row>
    <row r="9" spans="2:16" ht="24" customHeight="1" x14ac:dyDescent="0.3">
      <c r="B9" s="127"/>
      <c r="C9" s="120"/>
      <c r="D9" s="125"/>
      <c r="E9" s="122"/>
      <c r="F9" s="128"/>
      <c r="G9" s="128"/>
      <c r="H9" s="120"/>
      <c r="I9" s="122"/>
    </row>
    <row r="10" spans="2:16" x14ac:dyDescent="0.3">
      <c r="B10" s="116" t="s">
        <v>95</v>
      </c>
      <c r="C10" s="117"/>
      <c r="D10" s="117"/>
      <c r="E10" s="117"/>
      <c r="F10" s="117"/>
      <c r="G10" s="117"/>
      <c r="H10" s="117"/>
      <c r="I10" s="118"/>
    </row>
    <row r="11" spans="2:16" ht="26.4" x14ac:dyDescent="0.3">
      <c r="B11" s="19">
        <v>1</v>
      </c>
      <c r="C11" s="52" t="s">
        <v>102</v>
      </c>
      <c r="D11" s="111" t="s">
        <v>30</v>
      </c>
      <c r="E11" s="112"/>
      <c r="F11" s="24" t="s">
        <v>28</v>
      </c>
      <c r="G11" s="25" t="s">
        <v>29</v>
      </c>
      <c r="H11" s="25">
        <v>1090.54</v>
      </c>
      <c r="I11" s="26">
        <f>H11*2.7</f>
        <v>2944.4580000000001</v>
      </c>
    </row>
    <row r="12" spans="2:16" ht="52.8" x14ac:dyDescent="0.3">
      <c r="B12" s="19">
        <v>2</v>
      </c>
      <c r="C12" s="52" t="s">
        <v>102</v>
      </c>
      <c r="D12" s="111" t="s">
        <v>30</v>
      </c>
      <c r="E12" s="112"/>
      <c r="F12" s="51" t="s">
        <v>101</v>
      </c>
      <c r="G12" s="25" t="s">
        <v>62</v>
      </c>
      <c r="H12" s="25">
        <v>1</v>
      </c>
      <c r="I12" s="26">
        <f>1090.54*0.05</f>
        <v>54.527000000000001</v>
      </c>
      <c r="P12" s="41"/>
    </row>
    <row r="13" spans="2:16" ht="26.4" x14ac:dyDescent="0.3">
      <c r="B13" s="19">
        <v>3</v>
      </c>
      <c r="C13" s="52" t="s">
        <v>102</v>
      </c>
      <c r="D13" s="111" t="s">
        <v>30</v>
      </c>
      <c r="E13" s="112"/>
      <c r="F13" s="24" t="s">
        <v>32</v>
      </c>
      <c r="G13" s="25" t="s">
        <v>31</v>
      </c>
      <c r="H13" s="25">
        <v>1</v>
      </c>
      <c r="I13" s="26">
        <f>(14178.56*1.9%)+(12329.1*1.6%)</f>
        <v>466.65823999999998</v>
      </c>
    </row>
    <row r="14" spans="2:16" x14ac:dyDescent="0.3">
      <c r="B14" s="113" t="s">
        <v>96</v>
      </c>
      <c r="C14" s="114"/>
      <c r="D14" s="114"/>
      <c r="E14" s="114"/>
      <c r="F14" s="114"/>
      <c r="G14" s="114"/>
      <c r="H14" s="115"/>
      <c r="I14" s="40">
        <f>SUM(I11:I13)</f>
        <v>3465.6432400000003</v>
      </c>
    </row>
    <row r="15" spans="2:16" x14ac:dyDescent="0.3">
      <c r="B15" s="116" t="s">
        <v>104</v>
      </c>
      <c r="C15" s="117"/>
      <c r="D15" s="117"/>
      <c r="E15" s="117"/>
      <c r="F15" s="117"/>
      <c r="G15" s="117"/>
      <c r="H15" s="117"/>
      <c r="I15" s="118"/>
    </row>
    <row r="16" spans="2:16" ht="26.4" x14ac:dyDescent="0.3">
      <c r="B16" s="19">
        <v>1</v>
      </c>
      <c r="C16" s="52" t="s">
        <v>103</v>
      </c>
      <c r="D16" s="111" t="s">
        <v>30</v>
      </c>
      <c r="E16" s="112"/>
      <c r="F16" s="24" t="s">
        <v>28</v>
      </c>
      <c r="G16" s="25" t="s">
        <v>29</v>
      </c>
      <c r="H16" s="25">
        <v>1090.54</v>
      </c>
      <c r="I16" s="26">
        <f>H16*2.7</f>
        <v>2944.4580000000001</v>
      </c>
    </row>
    <row r="17" spans="2:9" ht="26.4" x14ac:dyDescent="0.3">
      <c r="B17" s="19">
        <v>2</v>
      </c>
      <c r="C17" s="52" t="s">
        <v>103</v>
      </c>
      <c r="D17" s="111" t="s">
        <v>30</v>
      </c>
      <c r="E17" s="112"/>
      <c r="F17" s="24" t="s">
        <v>61</v>
      </c>
      <c r="G17" s="25" t="s">
        <v>62</v>
      </c>
      <c r="H17" s="25">
        <v>1</v>
      </c>
      <c r="I17" s="26">
        <v>3950</v>
      </c>
    </row>
    <row r="18" spans="2:9" ht="26.4" x14ac:dyDescent="0.3">
      <c r="B18" s="19">
        <v>3</v>
      </c>
      <c r="C18" s="52" t="s">
        <v>103</v>
      </c>
      <c r="D18" s="111" t="s">
        <v>30</v>
      </c>
      <c r="E18" s="112"/>
      <c r="F18" s="24" t="s">
        <v>32</v>
      </c>
      <c r="G18" s="25" t="s">
        <v>31</v>
      </c>
      <c r="H18" s="25">
        <v>1</v>
      </c>
      <c r="I18" s="26">
        <f>(14178.56*1.9%)+(10584.05*1.9%)</f>
        <v>470.48958999999996</v>
      </c>
    </row>
    <row r="19" spans="2:9" ht="52.8" x14ac:dyDescent="0.3">
      <c r="B19" s="19">
        <v>4</v>
      </c>
      <c r="C19" s="52" t="s">
        <v>103</v>
      </c>
      <c r="D19" s="111" t="s">
        <v>30</v>
      </c>
      <c r="E19" s="112"/>
      <c r="F19" s="51" t="s">
        <v>101</v>
      </c>
      <c r="G19" s="25" t="s">
        <v>62</v>
      </c>
      <c r="H19" s="25">
        <v>1</v>
      </c>
      <c r="I19" s="26">
        <f>1090.54*0.05</f>
        <v>54.527000000000001</v>
      </c>
    </row>
    <row r="20" spans="2:9" x14ac:dyDescent="0.3">
      <c r="B20" s="113" t="s">
        <v>105</v>
      </c>
      <c r="C20" s="114"/>
      <c r="D20" s="114"/>
      <c r="E20" s="114"/>
      <c r="F20" s="114"/>
      <c r="G20" s="114"/>
      <c r="H20" s="115"/>
      <c r="I20" s="40">
        <f>SUM(I16:I19)</f>
        <v>7419.4745900000007</v>
      </c>
    </row>
    <row r="21" spans="2:9" x14ac:dyDescent="0.3">
      <c r="B21" s="116" t="s">
        <v>106</v>
      </c>
      <c r="C21" s="117"/>
      <c r="D21" s="117"/>
      <c r="E21" s="117"/>
      <c r="F21" s="117"/>
      <c r="G21" s="117"/>
      <c r="H21" s="117"/>
      <c r="I21" s="118"/>
    </row>
    <row r="22" spans="2:9" ht="26.4" x14ac:dyDescent="0.3">
      <c r="B22" s="19">
        <v>1</v>
      </c>
      <c r="C22" s="20" t="s">
        <v>108</v>
      </c>
      <c r="D22" s="111" t="s">
        <v>30</v>
      </c>
      <c r="E22" s="112"/>
      <c r="F22" s="24" t="s">
        <v>28</v>
      </c>
      <c r="G22" s="25" t="s">
        <v>29</v>
      </c>
      <c r="H22" s="25">
        <v>1090.54</v>
      </c>
      <c r="I22" s="26">
        <f>H22*2.7</f>
        <v>2944.4580000000001</v>
      </c>
    </row>
    <row r="23" spans="2:9" x14ac:dyDescent="0.3">
      <c r="B23" s="19">
        <v>2</v>
      </c>
      <c r="C23" s="20" t="s">
        <v>108</v>
      </c>
      <c r="D23" s="111" t="s">
        <v>30</v>
      </c>
      <c r="E23" s="112"/>
      <c r="F23" s="24" t="s">
        <v>78</v>
      </c>
      <c r="G23" s="25" t="s">
        <v>62</v>
      </c>
      <c r="H23" s="25">
        <v>1</v>
      </c>
      <c r="I23" s="26">
        <v>3212</v>
      </c>
    </row>
    <row r="24" spans="2:9" ht="26.4" x14ac:dyDescent="0.3">
      <c r="B24" s="19">
        <v>3</v>
      </c>
      <c r="C24" s="20" t="s">
        <v>108</v>
      </c>
      <c r="D24" s="111" t="s">
        <v>30</v>
      </c>
      <c r="E24" s="112"/>
      <c r="F24" s="24" t="s">
        <v>32</v>
      </c>
      <c r="G24" s="25" t="s">
        <v>31</v>
      </c>
      <c r="H24" s="25">
        <v>1</v>
      </c>
      <c r="I24" s="26">
        <f>(14178.56*1.9%)+(11568.3*1.6%)</f>
        <v>454.48543999999993</v>
      </c>
    </row>
    <row r="25" spans="2:9" ht="52.8" x14ac:dyDescent="0.3">
      <c r="B25" s="19">
        <v>4</v>
      </c>
      <c r="C25" s="20" t="s">
        <v>108</v>
      </c>
      <c r="D25" s="111" t="s">
        <v>30</v>
      </c>
      <c r="E25" s="112"/>
      <c r="F25" s="51" t="s">
        <v>101</v>
      </c>
      <c r="G25" s="25" t="s">
        <v>62</v>
      </c>
      <c r="H25" s="25">
        <v>1</v>
      </c>
      <c r="I25" s="26">
        <f>1090.54*0.05</f>
        <v>54.527000000000001</v>
      </c>
    </row>
    <row r="26" spans="2:9" x14ac:dyDescent="0.3">
      <c r="B26" s="113" t="s">
        <v>107</v>
      </c>
      <c r="C26" s="114"/>
      <c r="D26" s="114"/>
      <c r="E26" s="114"/>
      <c r="F26" s="114"/>
      <c r="G26" s="114"/>
      <c r="H26" s="115"/>
      <c r="I26" s="40">
        <f>SUM(I22:I25)</f>
        <v>6665.470440000001</v>
      </c>
    </row>
    <row r="27" spans="2:9" x14ac:dyDescent="0.3">
      <c r="B27" s="116" t="s">
        <v>109</v>
      </c>
      <c r="C27" s="117"/>
      <c r="D27" s="117"/>
      <c r="E27" s="117"/>
      <c r="F27" s="117"/>
      <c r="G27" s="117"/>
      <c r="H27" s="117"/>
      <c r="I27" s="118"/>
    </row>
    <row r="28" spans="2:9" ht="26.4" x14ac:dyDescent="0.3">
      <c r="B28" s="19">
        <v>1</v>
      </c>
      <c r="C28" s="20" t="s">
        <v>111</v>
      </c>
      <c r="D28" s="111" t="s">
        <v>30</v>
      </c>
      <c r="E28" s="112"/>
      <c r="F28" s="24" t="s">
        <v>28</v>
      </c>
      <c r="G28" s="25" t="s">
        <v>29</v>
      </c>
      <c r="H28" s="25">
        <v>1090.54</v>
      </c>
      <c r="I28" s="26">
        <f>H28*2.7</f>
        <v>2944.4580000000001</v>
      </c>
    </row>
    <row r="29" spans="2:9" ht="26.4" x14ac:dyDescent="0.3">
      <c r="B29" s="19">
        <v>6</v>
      </c>
      <c r="C29" s="20" t="s">
        <v>111</v>
      </c>
      <c r="D29" s="111" t="s">
        <v>30</v>
      </c>
      <c r="E29" s="112"/>
      <c r="F29" s="24" t="s">
        <v>32</v>
      </c>
      <c r="G29" s="25" t="s">
        <v>31</v>
      </c>
      <c r="H29" s="25">
        <v>1</v>
      </c>
      <c r="I29" s="26">
        <f>(14178.56*1.9%)+(10070.05*1.6%)</f>
        <v>430.51343999999995</v>
      </c>
    </row>
    <row r="30" spans="2:9" ht="52.8" x14ac:dyDescent="0.3">
      <c r="B30" s="19">
        <v>4</v>
      </c>
      <c r="C30" s="20" t="s">
        <v>111</v>
      </c>
      <c r="D30" s="111" t="s">
        <v>30</v>
      </c>
      <c r="E30" s="112"/>
      <c r="F30" s="51" t="s">
        <v>101</v>
      </c>
      <c r="G30" s="25" t="s">
        <v>62</v>
      </c>
      <c r="H30" s="25">
        <v>1</v>
      </c>
      <c r="I30" s="26">
        <f>1090.54*0.05</f>
        <v>54.527000000000001</v>
      </c>
    </row>
    <row r="31" spans="2:9" x14ac:dyDescent="0.3">
      <c r="B31" s="113" t="s">
        <v>110</v>
      </c>
      <c r="C31" s="114"/>
      <c r="D31" s="114"/>
      <c r="E31" s="114"/>
      <c r="F31" s="114"/>
      <c r="G31" s="114"/>
      <c r="H31" s="115"/>
      <c r="I31" s="40">
        <f>SUM(I28:I30)</f>
        <v>3429.4984400000003</v>
      </c>
    </row>
    <row r="32" spans="2:9" x14ac:dyDescent="0.3">
      <c r="B32" s="116" t="s">
        <v>112</v>
      </c>
      <c r="C32" s="117"/>
      <c r="D32" s="117"/>
      <c r="E32" s="117"/>
      <c r="F32" s="117"/>
      <c r="G32" s="117"/>
      <c r="H32" s="117"/>
      <c r="I32" s="118"/>
    </row>
    <row r="33" spans="2:9" ht="26.4" x14ac:dyDescent="0.3">
      <c r="B33" s="19">
        <v>1</v>
      </c>
      <c r="C33" s="52" t="s">
        <v>114</v>
      </c>
      <c r="D33" s="111" t="s">
        <v>30</v>
      </c>
      <c r="E33" s="112"/>
      <c r="F33" s="24" t="s">
        <v>28</v>
      </c>
      <c r="G33" s="25" t="s">
        <v>29</v>
      </c>
      <c r="H33" s="25">
        <v>1090.54</v>
      </c>
      <c r="I33" s="26">
        <f>H33*2.7</f>
        <v>2944.4580000000001</v>
      </c>
    </row>
    <row r="34" spans="2:9" x14ac:dyDescent="0.3">
      <c r="B34" s="19">
        <v>2</v>
      </c>
      <c r="C34" s="52" t="s">
        <v>114</v>
      </c>
      <c r="D34" s="111" t="s">
        <v>30</v>
      </c>
      <c r="E34" s="112"/>
      <c r="F34" s="24" t="s">
        <v>77</v>
      </c>
      <c r="G34" s="25" t="s">
        <v>62</v>
      </c>
      <c r="H34" s="25">
        <v>1</v>
      </c>
      <c r="I34" s="26">
        <v>3400</v>
      </c>
    </row>
    <row r="35" spans="2:9" ht="26.4" x14ac:dyDescent="0.3">
      <c r="B35" s="19">
        <v>3</v>
      </c>
      <c r="C35" s="52" t="s">
        <v>114</v>
      </c>
      <c r="D35" s="111" t="s">
        <v>30</v>
      </c>
      <c r="E35" s="112"/>
      <c r="F35" s="24" t="s">
        <v>32</v>
      </c>
      <c r="G35" s="25" t="s">
        <v>31</v>
      </c>
      <c r="H35" s="25">
        <v>1</v>
      </c>
      <c r="I35" s="26">
        <f>(14178.56*1.9%)+(15314.95*1.6%)</f>
        <v>514.43183999999997</v>
      </c>
    </row>
    <row r="36" spans="2:9" ht="52.8" x14ac:dyDescent="0.3">
      <c r="B36" s="19">
        <v>4</v>
      </c>
      <c r="C36" s="52" t="s">
        <v>114</v>
      </c>
      <c r="D36" s="111" t="s">
        <v>30</v>
      </c>
      <c r="E36" s="112"/>
      <c r="F36" s="51" t="s">
        <v>101</v>
      </c>
      <c r="G36" s="25" t="s">
        <v>62</v>
      </c>
      <c r="H36" s="25">
        <v>1</v>
      </c>
      <c r="I36" s="26">
        <f>1090.54*0.05</f>
        <v>54.527000000000001</v>
      </c>
    </row>
    <row r="37" spans="2:9" x14ac:dyDescent="0.3">
      <c r="B37" s="113" t="s">
        <v>113</v>
      </c>
      <c r="C37" s="114"/>
      <c r="D37" s="114"/>
      <c r="E37" s="114"/>
      <c r="F37" s="114"/>
      <c r="G37" s="114"/>
      <c r="H37" s="115"/>
      <c r="I37" s="40">
        <f>SUM(I33:I36)</f>
        <v>6913.4168400000008</v>
      </c>
    </row>
    <row r="38" spans="2:9" x14ac:dyDescent="0.3">
      <c r="B38" s="116" t="s">
        <v>115</v>
      </c>
      <c r="C38" s="117"/>
      <c r="D38" s="117"/>
      <c r="E38" s="117"/>
      <c r="F38" s="117"/>
      <c r="G38" s="117"/>
      <c r="H38" s="117"/>
      <c r="I38" s="118"/>
    </row>
    <row r="39" spans="2:9" ht="26.4" x14ac:dyDescent="0.3">
      <c r="B39" s="19">
        <v>1</v>
      </c>
      <c r="C39" s="20" t="s">
        <v>116</v>
      </c>
      <c r="D39" s="111" t="s">
        <v>30</v>
      </c>
      <c r="E39" s="112"/>
      <c r="F39" s="24" t="s">
        <v>28</v>
      </c>
      <c r="G39" s="25" t="s">
        <v>29</v>
      </c>
      <c r="H39" s="25">
        <v>1090.54</v>
      </c>
      <c r="I39" s="26">
        <f>H39*2.7</f>
        <v>2944.4580000000001</v>
      </c>
    </row>
    <row r="40" spans="2:9" ht="26.4" x14ac:dyDescent="0.3">
      <c r="B40" s="19">
        <v>2</v>
      </c>
      <c r="C40" s="20" t="s">
        <v>116</v>
      </c>
      <c r="D40" s="111" t="s">
        <v>30</v>
      </c>
      <c r="E40" s="112"/>
      <c r="F40" s="24" t="s">
        <v>32</v>
      </c>
      <c r="G40" s="25" t="s">
        <v>31</v>
      </c>
      <c r="H40" s="25">
        <v>1</v>
      </c>
      <c r="I40" s="26">
        <f>(14178.56*1.9%)+(10022.13*1.6%)</f>
        <v>429.74671999999998</v>
      </c>
    </row>
    <row r="41" spans="2:9" ht="52.8" x14ac:dyDescent="0.3">
      <c r="B41" s="19">
        <v>3</v>
      </c>
      <c r="C41" s="20" t="s">
        <v>116</v>
      </c>
      <c r="D41" s="111" t="s">
        <v>30</v>
      </c>
      <c r="E41" s="112"/>
      <c r="F41" s="51" t="s">
        <v>101</v>
      </c>
      <c r="G41" s="25" t="s">
        <v>62</v>
      </c>
      <c r="H41" s="25">
        <v>1</v>
      </c>
      <c r="I41" s="26">
        <f>1090.54*0.05</f>
        <v>54.527000000000001</v>
      </c>
    </row>
    <row r="42" spans="2:9" x14ac:dyDescent="0.3">
      <c r="B42" s="113" t="s">
        <v>117</v>
      </c>
      <c r="C42" s="114"/>
      <c r="D42" s="114"/>
      <c r="E42" s="114"/>
      <c r="F42" s="114"/>
      <c r="G42" s="114"/>
      <c r="H42" s="115"/>
      <c r="I42" s="40">
        <f>SUM(I39:I41)</f>
        <v>3428.7317200000002</v>
      </c>
    </row>
    <row r="43" spans="2:9" x14ac:dyDescent="0.3">
      <c r="B43" s="116" t="s">
        <v>118</v>
      </c>
      <c r="C43" s="117"/>
      <c r="D43" s="117"/>
      <c r="E43" s="117"/>
      <c r="F43" s="117"/>
      <c r="G43" s="117"/>
      <c r="H43" s="117"/>
      <c r="I43" s="118"/>
    </row>
    <row r="44" spans="2:9" ht="26.4" x14ac:dyDescent="0.3">
      <c r="B44" s="19">
        <v>1</v>
      </c>
      <c r="C44" s="20" t="s">
        <v>119</v>
      </c>
      <c r="D44" s="111" t="s">
        <v>30</v>
      </c>
      <c r="E44" s="112"/>
      <c r="F44" s="24" t="s">
        <v>28</v>
      </c>
      <c r="G44" s="25" t="s">
        <v>29</v>
      </c>
      <c r="H44" s="25">
        <v>1090.54</v>
      </c>
      <c r="I44" s="26">
        <f>H44*2.7</f>
        <v>2944.4580000000001</v>
      </c>
    </row>
    <row r="45" spans="2:9" x14ac:dyDescent="0.3">
      <c r="B45" s="19">
        <v>2</v>
      </c>
      <c r="C45" s="20" t="s">
        <v>119</v>
      </c>
      <c r="D45" s="111" t="s">
        <v>30</v>
      </c>
      <c r="E45" s="112"/>
      <c r="F45" s="24" t="s">
        <v>77</v>
      </c>
      <c r="G45" s="25" t="s">
        <v>62</v>
      </c>
      <c r="H45" s="25">
        <v>1</v>
      </c>
      <c r="I45" s="26">
        <v>1200</v>
      </c>
    </row>
    <row r="46" spans="2:9" ht="26.4" x14ac:dyDescent="0.3">
      <c r="B46" s="19">
        <v>3</v>
      </c>
      <c r="C46" s="20" t="s">
        <v>119</v>
      </c>
      <c r="D46" s="111" t="s">
        <v>30</v>
      </c>
      <c r="E46" s="112"/>
      <c r="F46" s="24" t="s">
        <v>32</v>
      </c>
      <c r="G46" s="25" t="s">
        <v>31</v>
      </c>
      <c r="H46" s="25">
        <v>1</v>
      </c>
      <c r="I46" s="26">
        <f>(14178.56*1.9%)+(22990.4*1.6%)</f>
        <v>637.23903999999993</v>
      </c>
    </row>
    <row r="47" spans="2:9" ht="52.8" x14ac:dyDescent="0.3">
      <c r="B47" s="19">
        <v>4</v>
      </c>
      <c r="C47" s="20" t="s">
        <v>119</v>
      </c>
      <c r="D47" s="111" t="s">
        <v>30</v>
      </c>
      <c r="E47" s="112"/>
      <c r="F47" s="51" t="s">
        <v>101</v>
      </c>
      <c r="G47" s="25" t="s">
        <v>62</v>
      </c>
      <c r="H47" s="25">
        <v>1</v>
      </c>
      <c r="I47" s="26">
        <f>1090.54*0.05</f>
        <v>54.527000000000001</v>
      </c>
    </row>
    <row r="48" spans="2:9" x14ac:dyDescent="0.3">
      <c r="B48" s="113" t="s">
        <v>120</v>
      </c>
      <c r="C48" s="114"/>
      <c r="D48" s="114"/>
      <c r="E48" s="114"/>
      <c r="F48" s="114"/>
      <c r="G48" s="114"/>
      <c r="H48" s="115"/>
      <c r="I48" s="40">
        <f>SUM(I44:I47)</f>
        <v>4836.224040000001</v>
      </c>
    </row>
    <row r="49" spans="2:9" x14ac:dyDescent="0.3">
      <c r="B49" s="116" t="s">
        <v>123</v>
      </c>
      <c r="C49" s="117"/>
      <c r="D49" s="117"/>
      <c r="E49" s="117"/>
      <c r="F49" s="117"/>
      <c r="G49" s="117"/>
      <c r="H49" s="117"/>
      <c r="I49" s="118"/>
    </row>
    <row r="50" spans="2:9" ht="26.4" x14ac:dyDescent="0.3">
      <c r="B50" s="19">
        <v>1</v>
      </c>
      <c r="C50" s="20" t="s">
        <v>125</v>
      </c>
      <c r="D50" s="111" t="s">
        <v>30</v>
      </c>
      <c r="E50" s="112"/>
      <c r="F50" s="24" t="s">
        <v>28</v>
      </c>
      <c r="G50" s="25" t="s">
        <v>29</v>
      </c>
      <c r="H50" s="25">
        <v>1090.54</v>
      </c>
      <c r="I50" s="26">
        <f>H50*2.7</f>
        <v>2944.4580000000001</v>
      </c>
    </row>
    <row r="51" spans="2:9" ht="39.6" x14ac:dyDescent="0.3">
      <c r="B51" s="19">
        <v>2</v>
      </c>
      <c r="C51" s="20" t="s">
        <v>125</v>
      </c>
      <c r="D51" s="111" t="s">
        <v>30</v>
      </c>
      <c r="E51" s="112"/>
      <c r="F51" s="24" t="s">
        <v>124</v>
      </c>
      <c r="G51" s="25" t="s">
        <v>62</v>
      </c>
      <c r="H51" s="25">
        <v>1</v>
      </c>
      <c r="I51" s="26">
        <v>4320</v>
      </c>
    </row>
    <row r="52" spans="2:9" ht="26.4" x14ac:dyDescent="0.3">
      <c r="B52" s="19">
        <v>3</v>
      </c>
      <c r="C52" s="20" t="s">
        <v>125</v>
      </c>
      <c r="D52" s="111" t="s">
        <v>30</v>
      </c>
      <c r="E52" s="112"/>
      <c r="F52" s="24" t="s">
        <v>32</v>
      </c>
      <c r="G52" s="25" t="s">
        <v>31</v>
      </c>
      <c r="H52" s="25">
        <v>1</v>
      </c>
      <c r="I52" s="26">
        <f>(14178.56*1.9%)+(12089.64*1.6%)</f>
        <v>462.82687999999996</v>
      </c>
    </row>
    <row r="53" spans="2:9" ht="52.8" x14ac:dyDescent="0.3">
      <c r="B53" s="19">
        <v>4</v>
      </c>
      <c r="C53" s="20" t="s">
        <v>125</v>
      </c>
      <c r="D53" s="111" t="s">
        <v>30</v>
      </c>
      <c r="E53" s="112"/>
      <c r="F53" s="51" t="s">
        <v>101</v>
      </c>
      <c r="G53" s="25" t="s">
        <v>62</v>
      </c>
      <c r="H53" s="25">
        <v>1</v>
      </c>
      <c r="I53" s="26">
        <f>1090.54*0.05</f>
        <v>54.527000000000001</v>
      </c>
    </row>
    <row r="54" spans="2:9" x14ac:dyDescent="0.3">
      <c r="B54" s="113" t="s">
        <v>126</v>
      </c>
      <c r="C54" s="114"/>
      <c r="D54" s="114"/>
      <c r="E54" s="114"/>
      <c r="F54" s="114"/>
      <c r="G54" s="114"/>
      <c r="H54" s="115"/>
      <c r="I54" s="40">
        <f>SUM(I50:I53)</f>
        <v>7781.8118800000002</v>
      </c>
    </row>
    <row r="55" spans="2:9" x14ac:dyDescent="0.3">
      <c r="B55" s="116" t="s">
        <v>127</v>
      </c>
      <c r="C55" s="117"/>
      <c r="D55" s="117"/>
      <c r="E55" s="117"/>
      <c r="F55" s="117"/>
      <c r="G55" s="117"/>
      <c r="H55" s="117"/>
      <c r="I55" s="118"/>
    </row>
    <row r="56" spans="2:9" ht="26.4" x14ac:dyDescent="0.3">
      <c r="B56" s="19">
        <v>1</v>
      </c>
      <c r="C56" s="20" t="s">
        <v>129</v>
      </c>
      <c r="D56" s="111" t="s">
        <v>30</v>
      </c>
      <c r="E56" s="112"/>
      <c r="F56" s="24" t="s">
        <v>28</v>
      </c>
      <c r="G56" s="25" t="s">
        <v>29</v>
      </c>
      <c r="H56" s="25">
        <v>1090.54</v>
      </c>
      <c r="I56" s="26">
        <f>H56*2.7</f>
        <v>2944.4580000000001</v>
      </c>
    </row>
    <row r="57" spans="2:9" ht="26.4" x14ac:dyDescent="0.3">
      <c r="B57" s="19">
        <v>2</v>
      </c>
      <c r="C57" s="20" t="s">
        <v>129</v>
      </c>
      <c r="D57" s="111" t="s">
        <v>30</v>
      </c>
      <c r="E57" s="112"/>
      <c r="F57" s="24" t="s">
        <v>61</v>
      </c>
      <c r="G57" s="25" t="s">
        <v>62</v>
      </c>
      <c r="H57" s="25">
        <v>1</v>
      </c>
      <c r="I57" s="26">
        <v>1890</v>
      </c>
    </row>
    <row r="58" spans="2:9" ht="26.4" x14ac:dyDescent="0.3">
      <c r="B58" s="19">
        <v>3</v>
      </c>
      <c r="C58" s="20" t="s">
        <v>129</v>
      </c>
      <c r="D58" s="111" t="s">
        <v>30</v>
      </c>
      <c r="E58" s="112"/>
      <c r="F58" s="24" t="s">
        <v>32</v>
      </c>
      <c r="G58" s="25" t="s">
        <v>31</v>
      </c>
      <c r="H58" s="25">
        <v>1</v>
      </c>
      <c r="I58" s="26">
        <f>(14178.56*1.9%)+(9004.45*1.6%)</f>
        <v>413.46384</v>
      </c>
    </row>
    <row r="59" spans="2:9" ht="52.8" x14ac:dyDescent="0.3">
      <c r="B59" s="19">
        <v>4</v>
      </c>
      <c r="C59" s="20" t="s">
        <v>129</v>
      </c>
      <c r="D59" s="111" t="s">
        <v>30</v>
      </c>
      <c r="E59" s="112"/>
      <c r="F59" s="51" t="s">
        <v>101</v>
      </c>
      <c r="G59" s="25" t="s">
        <v>62</v>
      </c>
      <c r="H59" s="25">
        <v>1</v>
      </c>
      <c r="I59" s="26">
        <f>1090.54*0.05</f>
        <v>54.527000000000001</v>
      </c>
    </row>
    <row r="60" spans="2:9" x14ac:dyDescent="0.3">
      <c r="B60" s="113" t="s">
        <v>128</v>
      </c>
      <c r="C60" s="114"/>
      <c r="D60" s="114"/>
      <c r="E60" s="114"/>
      <c r="F60" s="114"/>
      <c r="G60" s="114"/>
      <c r="H60" s="115"/>
      <c r="I60" s="40">
        <f>SUM(I56:I59)</f>
        <v>5302.4488400000009</v>
      </c>
    </row>
    <row r="61" spans="2:9" ht="12.75" customHeight="1" x14ac:dyDescent="0.3">
      <c r="B61" s="116" t="s">
        <v>130</v>
      </c>
      <c r="C61" s="117"/>
      <c r="D61" s="117"/>
      <c r="E61" s="117"/>
      <c r="F61" s="117"/>
      <c r="G61" s="117"/>
      <c r="H61" s="117"/>
      <c r="I61" s="118"/>
    </row>
    <row r="62" spans="2:9" ht="26.4" x14ac:dyDescent="0.3">
      <c r="B62" s="19">
        <v>1</v>
      </c>
      <c r="C62" s="20" t="s">
        <v>132</v>
      </c>
      <c r="D62" s="111" t="s">
        <v>30</v>
      </c>
      <c r="E62" s="112"/>
      <c r="F62" s="24" t="s">
        <v>28</v>
      </c>
      <c r="G62" s="25" t="s">
        <v>29</v>
      </c>
      <c r="H62" s="25">
        <v>1090.54</v>
      </c>
      <c r="I62" s="26">
        <f>H62*2.7</f>
        <v>2944.4580000000001</v>
      </c>
    </row>
    <row r="63" spans="2:9" ht="26.4" x14ac:dyDescent="0.3">
      <c r="B63" s="19">
        <v>2</v>
      </c>
      <c r="C63" s="20" t="s">
        <v>132</v>
      </c>
      <c r="D63" s="111" t="s">
        <v>30</v>
      </c>
      <c r="E63" s="112"/>
      <c r="F63" s="24" t="s">
        <v>32</v>
      </c>
      <c r="G63" s="25" t="s">
        <v>31</v>
      </c>
      <c r="H63" s="25">
        <v>1</v>
      </c>
      <c r="I63" s="26">
        <f>(14178.56*1.9%)+(22028.06*1.6%)</f>
        <v>621.84159999999997</v>
      </c>
    </row>
    <row r="64" spans="2:9" ht="52.8" x14ac:dyDescent="0.3">
      <c r="B64" s="19">
        <v>3</v>
      </c>
      <c r="C64" s="20" t="s">
        <v>132</v>
      </c>
      <c r="D64" s="111" t="s">
        <v>30</v>
      </c>
      <c r="E64" s="112"/>
      <c r="F64" s="51" t="s">
        <v>101</v>
      </c>
      <c r="G64" s="25" t="s">
        <v>62</v>
      </c>
      <c r="H64" s="25">
        <v>1</v>
      </c>
      <c r="I64" s="26">
        <f>1090.54*0.05</f>
        <v>54.527000000000001</v>
      </c>
    </row>
    <row r="65" spans="2:15" ht="12.75" customHeight="1" x14ac:dyDescent="0.3">
      <c r="B65" s="113" t="s">
        <v>131</v>
      </c>
      <c r="C65" s="114"/>
      <c r="D65" s="114"/>
      <c r="E65" s="114"/>
      <c r="F65" s="114"/>
      <c r="G65" s="114"/>
      <c r="H65" s="115"/>
      <c r="I65" s="40">
        <f>SUM(I62:I64)</f>
        <v>3620.8266000000003</v>
      </c>
    </row>
    <row r="66" spans="2:15" x14ac:dyDescent="0.3">
      <c r="B66" s="116" t="s">
        <v>133</v>
      </c>
      <c r="C66" s="117"/>
      <c r="D66" s="117"/>
      <c r="E66" s="117"/>
      <c r="F66" s="117"/>
      <c r="G66" s="117"/>
      <c r="H66" s="117"/>
      <c r="I66" s="118"/>
    </row>
    <row r="67" spans="2:15" ht="26.4" x14ac:dyDescent="0.3">
      <c r="B67" s="19">
        <v>1</v>
      </c>
      <c r="C67" s="20" t="s">
        <v>100</v>
      </c>
      <c r="D67" s="111" t="s">
        <v>30</v>
      </c>
      <c r="E67" s="112"/>
      <c r="F67" s="24" t="s">
        <v>28</v>
      </c>
      <c r="G67" s="25" t="s">
        <v>29</v>
      </c>
      <c r="H67" s="25">
        <v>1090.54</v>
      </c>
      <c r="I67" s="26">
        <f>H67*2.7</f>
        <v>2944.4580000000001</v>
      </c>
      <c r="O67" s="41"/>
    </row>
    <row r="68" spans="2:15" ht="26.4" x14ac:dyDescent="0.3">
      <c r="B68" s="19">
        <v>2</v>
      </c>
      <c r="C68" s="20" t="s">
        <v>100</v>
      </c>
      <c r="D68" s="111" t="s">
        <v>30</v>
      </c>
      <c r="E68" s="112"/>
      <c r="F68" s="24" t="s">
        <v>32</v>
      </c>
      <c r="G68" s="25" t="s">
        <v>31</v>
      </c>
      <c r="H68" s="25">
        <v>1</v>
      </c>
      <c r="I68" s="26">
        <f>(14570.72*1.9%)+(13762.86*1.6%)</f>
        <v>497.04944</v>
      </c>
    </row>
    <row r="69" spans="2:15" ht="52.8" x14ac:dyDescent="0.3">
      <c r="B69" s="19">
        <v>3</v>
      </c>
      <c r="C69" s="20" t="s">
        <v>100</v>
      </c>
      <c r="D69" s="111" t="s">
        <v>30</v>
      </c>
      <c r="E69" s="112"/>
      <c r="F69" s="51" t="s">
        <v>101</v>
      </c>
      <c r="G69" s="25" t="s">
        <v>62</v>
      </c>
      <c r="H69" s="25">
        <v>1</v>
      </c>
      <c r="I69" s="26">
        <f>1090.54*0.05</f>
        <v>54.527000000000001</v>
      </c>
    </row>
    <row r="70" spans="2:15" x14ac:dyDescent="0.3">
      <c r="B70" s="113" t="s">
        <v>134</v>
      </c>
      <c r="C70" s="114"/>
      <c r="D70" s="114"/>
      <c r="E70" s="114"/>
      <c r="F70" s="114"/>
      <c r="G70" s="114"/>
      <c r="H70" s="115"/>
      <c r="I70" s="40">
        <f>SUM(I67:I69)</f>
        <v>3496.0344400000004</v>
      </c>
    </row>
    <row r="71" spans="2:15" x14ac:dyDescent="0.3">
      <c r="B71" s="116" t="s">
        <v>135</v>
      </c>
      <c r="C71" s="117"/>
      <c r="D71" s="117"/>
      <c r="E71" s="117"/>
      <c r="F71" s="117"/>
      <c r="G71" s="117"/>
      <c r="H71" s="117"/>
      <c r="I71" s="118"/>
    </row>
    <row r="72" spans="2:15" ht="26.4" x14ac:dyDescent="0.3">
      <c r="B72" s="19">
        <v>1</v>
      </c>
      <c r="C72" s="20" t="s">
        <v>137</v>
      </c>
      <c r="D72" s="111" t="s">
        <v>30</v>
      </c>
      <c r="E72" s="112"/>
      <c r="F72" s="24" t="s">
        <v>28</v>
      </c>
      <c r="G72" s="25" t="s">
        <v>29</v>
      </c>
      <c r="H72" s="25">
        <v>1090.54</v>
      </c>
      <c r="I72" s="26">
        <f>H72*2.7</f>
        <v>2944.4580000000001</v>
      </c>
      <c r="O72" s="41"/>
    </row>
    <row r="73" spans="2:15" x14ac:dyDescent="0.3">
      <c r="B73" s="19"/>
      <c r="C73" s="20"/>
      <c r="D73" s="111"/>
      <c r="E73" s="112"/>
      <c r="F73" s="24" t="s">
        <v>138</v>
      </c>
      <c r="G73" s="25" t="s">
        <v>62</v>
      </c>
      <c r="H73" s="25">
        <v>1</v>
      </c>
      <c r="I73" s="26">
        <v>5400</v>
      </c>
      <c r="O73" s="41"/>
    </row>
    <row r="74" spans="2:15" ht="26.4" x14ac:dyDescent="0.3">
      <c r="B74" s="19">
        <v>2</v>
      </c>
      <c r="C74" s="20" t="s">
        <v>137</v>
      </c>
      <c r="D74" s="111" t="s">
        <v>30</v>
      </c>
      <c r="E74" s="112"/>
      <c r="F74" s="24" t="s">
        <v>32</v>
      </c>
      <c r="G74" s="25" t="s">
        <v>31</v>
      </c>
      <c r="H74" s="25">
        <v>1</v>
      </c>
      <c r="I74" s="26">
        <f>(14256.08*1.9%)+(14414.86*1.6%)</f>
        <v>501.50328000000002</v>
      </c>
    </row>
    <row r="75" spans="2:15" ht="52.8" x14ac:dyDescent="0.3">
      <c r="B75" s="19">
        <v>3</v>
      </c>
      <c r="C75" s="20" t="s">
        <v>137</v>
      </c>
      <c r="D75" s="111" t="s">
        <v>30</v>
      </c>
      <c r="E75" s="112"/>
      <c r="F75" s="51" t="s">
        <v>101</v>
      </c>
      <c r="G75" s="25" t="s">
        <v>62</v>
      </c>
      <c r="H75" s="25">
        <v>1</v>
      </c>
      <c r="I75" s="26">
        <f>1090.54*0.05</f>
        <v>54.527000000000001</v>
      </c>
    </row>
    <row r="76" spans="2:15" x14ac:dyDescent="0.3">
      <c r="B76" s="113" t="s">
        <v>136</v>
      </c>
      <c r="C76" s="114"/>
      <c r="D76" s="114"/>
      <c r="E76" s="114"/>
      <c r="F76" s="114"/>
      <c r="G76" s="114"/>
      <c r="H76" s="115"/>
      <c r="I76" s="40">
        <f>SUM(I72:I75)</f>
        <v>8900.4882800000014</v>
      </c>
    </row>
    <row r="77" spans="2:15" ht="15.75" customHeight="1" x14ac:dyDescent="0.3">
      <c r="B77" s="129" t="s">
        <v>122</v>
      </c>
      <c r="C77" s="130"/>
      <c r="D77" s="130"/>
      <c r="E77" s="130"/>
      <c r="F77" s="130"/>
      <c r="G77" s="130"/>
      <c r="H77" s="131"/>
      <c r="I77" s="31">
        <f>I14+I20+I26+I31+I37+I42+I48+I54+I60+I65+I70+I76</f>
        <v>65260.06935000002</v>
      </c>
    </row>
    <row r="78" spans="2:15" x14ac:dyDescent="0.3">
      <c r="B78" s="21"/>
      <c r="C78" s="21"/>
      <c r="D78" s="22"/>
      <c r="E78" s="22"/>
      <c r="F78" s="22"/>
      <c r="G78" s="22"/>
      <c r="H78" s="22"/>
      <c r="I78" s="23"/>
    </row>
    <row r="79" spans="2:15" x14ac:dyDescent="0.3">
      <c r="B79" s="14"/>
      <c r="C79" s="14"/>
      <c r="D79" s="14"/>
      <c r="E79" s="14"/>
      <c r="F79" s="14"/>
      <c r="G79" s="14"/>
      <c r="H79" s="14"/>
      <c r="I79" s="14"/>
    </row>
    <row r="80" spans="2:15" ht="29.25" customHeight="1" x14ac:dyDescent="0.3">
      <c r="B80" s="123"/>
      <c r="C80" s="123"/>
      <c r="D80" s="123"/>
      <c r="E80" s="123"/>
      <c r="F80" s="123"/>
      <c r="G80" s="123"/>
      <c r="H80" s="123"/>
      <c r="I80" s="123"/>
    </row>
    <row r="81" spans="2:9" ht="14.4" x14ac:dyDescent="0.3">
      <c r="B81" s="91"/>
      <c r="C81" s="91"/>
      <c r="D81" s="91"/>
      <c r="E81" s="91"/>
    </row>
    <row r="82" spans="2:9" ht="14.4" x14ac:dyDescent="0.3">
      <c r="B82" s="92"/>
      <c r="C82" s="92"/>
      <c r="D82" s="92"/>
      <c r="E82" s="92"/>
      <c r="G82" s="92"/>
      <c r="H82" s="92"/>
      <c r="I82" s="92"/>
    </row>
  </sheetData>
  <mergeCells count="79">
    <mergeCell ref="B82:E82"/>
    <mergeCell ref="G82:I82"/>
    <mergeCell ref="H8:H9"/>
    <mergeCell ref="I8:I9"/>
    <mergeCell ref="B80:I80"/>
    <mergeCell ref="D8:E9"/>
    <mergeCell ref="B8:B9"/>
    <mergeCell ref="C8:C9"/>
    <mergeCell ref="F8:F9"/>
    <mergeCell ref="G8:G9"/>
    <mergeCell ref="B77:H77"/>
    <mergeCell ref="D57:E57"/>
    <mergeCell ref="D59:E59"/>
    <mergeCell ref="B60:H60"/>
    <mergeCell ref="B61:I61"/>
    <mergeCell ref="D12:E12"/>
    <mergeCell ref="B81:E81"/>
    <mergeCell ref="B55:I55"/>
    <mergeCell ref="D56:E56"/>
    <mergeCell ref="D58:E58"/>
    <mergeCell ref="D63:E63"/>
    <mergeCell ref="D64:E64"/>
    <mergeCell ref="B65:H65"/>
    <mergeCell ref="B66:I66"/>
    <mergeCell ref="D67:E67"/>
    <mergeCell ref="D68:E68"/>
    <mergeCell ref="D69:E69"/>
    <mergeCell ref="B70:H70"/>
    <mergeCell ref="B76:H76"/>
    <mergeCell ref="B49:I49"/>
    <mergeCell ref="D50:E50"/>
    <mergeCell ref="D51:E51"/>
    <mergeCell ref="D53:E53"/>
    <mergeCell ref="D52:E52"/>
    <mergeCell ref="B54:H54"/>
    <mergeCell ref="B71:I71"/>
    <mergeCell ref="D72:E72"/>
    <mergeCell ref="D74:E74"/>
    <mergeCell ref="D75:E75"/>
    <mergeCell ref="D62:E62"/>
    <mergeCell ref="D73:E73"/>
    <mergeCell ref="D47:E47"/>
    <mergeCell ref="D46:E46"/>
    <mergeCell ref="B48:H48"/>
    <mergeCell ref="B38:I38"/>
    <mergeCell ref="D39:E39"/>
    <mergeCell ref="D41:E41"/>
    <mergeCell ref="D40:E40"/>
    <mergeCell ref="B42:H42"/>
    <mergeCell ref="B43:I43"/>
    <mergeCell ref="D44:E44"/>
    <mergeCell ref="D45:E45"/>
    <mergeCell ref="D36:E36"/>
    <mergeCell ref="D35:E35"/>
    <mergeCell ref="B37:H37"/>
    <mergeCell ref="B27:I27"/>
    <mergeCell ref="D28:E28"/>
    <mergeCell ref="D30:E30"/>
    <mergeCell ref="D29:E29"/>
    <mergeCell ref="B31:H31"/>
    <mergeCell ref="B32:I32"/>
    <mergeCell ref="D33:E33"/>
    <mergeCell ref="D34:E34"/>
    <mergeCell ref="D24:E24"/>
    <mergeCell ref="D25:E25"/>
    <mergeCell ref="B26:H26"/>
    <mergeCell ref="B15:I15"/>
    <mergeCell ref="D16:E16"/>
    <mergeCell ref="D17:E17"/>
    <mergeCell ref="D19:E19"/>
    <mergeCell ref="D18:E18"/>
    <mergeCell ref="B20:H20"/>
    <mergeCell ref="B21:I21"/>
    <mergeCell ref="D22:E22"/>
    <mergeCell ref="D13:E13"/>
    <mergeCell ref="B14:H14"/>
    <mergeCell ref="B10:I10"/>
    <mergeCell ref="D11:E11"/>
    <mergeCell ref="D23:E23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8"/>
  <sheetViews>
    <sheetView zoomScaleNormal="100" workbookViewId="0">
      <selection activeCell="M22" sqref="M22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33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97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94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65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0" ht="12.75" customHeight="1" x14ac:dyDescent="0.3">
      <c r="B8" s="126" t="s">
        <v>20</v>
      </c>
      <c r="C8" s="119" t="s">
        <v>27</v>
      </c>
      <c r="D8" s="124" t="s">
        <v>21</v>
      </c>
      <c r="E8" s="121"/>
      <c r="F8" s="119" t="s">
        <v>22</v>
      </c>
      <c r="G8" s="119" t="s">
        <v>23</v>
      </c>
      <c r="H8" s="119" t="s">
        <v>24</v>
      </c>
      <c r="I8" s="121" t="s">
        <v>26</v>
      </c>
    </row>
    <row r="9" spans="2:10" ht="24" customHeight="1" x14ac:dyDescent="0.3">
      <c r="B9" s="127"/>
      <c r="C9" s="120"/>
      <c r="D9" s="125"/>
      <c r="E9" s="122"/>
      <c r="F9" s="128"/>
      <c r="G9" s="128"/>
      <c r="H9" s="120"/>
      <c r="I9" s="122"/>
    </row>
    <row r="10" spans="2:10" x14ac:dyDescent="0.3">
      <c r="B10" s="116" t="s">
        <v>118</v>
      </c>
      <c r="C10" s="117"/>
      <c r="D10" s="117"/>
      <c r="E10" s="117"/>
      <c r="F10" s="117"/>
      <c r="G10" s="117"/>
      <c r="H10" s="117"/>
      <c r="I10" s="118"/>
    </row>
    <row r="11" spans="2:10" ht="26.4" x14ac:dyDescent="0.3">
      <c r="B11" s="19">
        <v>1</v>
      </c>
      <c r="C11" s="20" t="s">
        <v>119</v>
      </c>
      <c r="D11" s="111" t="s">
        <v>30</v>
      </c>
      <c r="E11" s="112"/>
      <c r="F11" s="24" t="s">
        <v>121</v>
      </c>
      <c r="G11" s="25" t="s">
        <v>29</v>
      </c>
      <c r="H11" s="25">
        <v>1090.54</v>
      </c>
      <c r="I11" s="26">
        <v>4252</v>
      </c>
    </row>
    <row r="12" spans="2:10" x14ac:dyDescent="0.3">
      <c r="B12" s="113" t="s">
        <v>120</v>
      </c>
      <c r="C12" s="114"/>
      <c r="D12" s="114"/>
      <c r="E12" s="114"/>
      <c r="F12" s="114"/>
      <c r="G12" s="114"/>
      <c r="H12" s="115"/>
      <c r="I12" s="40">
        <f>SUM(I11:I11)</f>
        <v>4252</v>
      </c>
    </row>
    <row r="13" spans="2:10" ht="15.75" customHeight="1" x14ac:dyDescent="0.3">
      <c r="B13" s="129" t="s">
        <v>122</v>
      </c>
      <c r="C13" s="130"/>
      <c r="D13" s="130"/>
      <c r="E13" s="130"/>
      <c r="F13" s="130"/>
      <c r="G13" s="130"/>
      <c r="H13" s="131"/>
      <c r="I13" s="31">
        <f>I12</f>
        <v>4252</v>
      </c>
    </row>
    <row r="14" spans="2:10" x14ac:dyDescent="0.3">
      <c r="B14" s="21"/>
      <c r="C14" s="21"/>
      <c r="D14" s="22"/>
      <c r="E14" s="22"/>
      <c r="F14" s="22"/>
      <c r="G14" s="22"/>
      <c r="H14" s="22"/>
      <c r="I14" s="23"/>
    </row>
    <row r="15" spans="2:10" x14ac:dyDescent="0.3">
      <c r="B15" s="14"/>
      <c r="C15" s="14"/>
      <c r="D15" s="14"/>
      <c r="E15" s="14"/>
      <c r="F15" s="14"/>
      <c r="G15" s="14"/>
      <c r="H15" s="14"/>
      <c r="I15" s="14"/>
    </row>
    <row r="16" spans="2:10" ht="29.25" customHeight="1" x14ac:dyDescent="0.3">
      <c r="B16" s="123"/>
      <c r="C16" s="123"/>
      <c r="D16" s="123"/>
      <c r="E16" s="123"/>
      <c r="F16" s="123"/>
      <c r="G16" s="123"/>
      <c r="H16" s="123"/>
      <c r="I16" s="123"/>
    </row>
    <row r="17" spans="2:9" ht="14.4" x14ac:dyDescent="0.3">
      <c r="B17" s="91"/>
      <c r="C17" s="91"/>
      <c r="D17" s="91"/>
      <c r="E17" s="91"/>
    </row>
    <row r="18" spans="2:9" ht="14.4" x14ac:dyDescent="0.3">
      <c r="B18" s="92"/>
      <c r="C18" s="92"/>
      <c r="D18" s="92"/>
      <c r="E18" s="92"/>
      <c r="G18" s="92"/>
      <c r="H18" s="92"/>
      <c r="I18" s="92"/>
    </row>
  </sheetData>
  <mergeCells count="15">
    <mergeCell ref="B12:H12"/>
    <mergeCell ref="B17:E17"/>
    <mergeCell ref="B18:E18"/>
    <mergeCell ref="G18:I18"/>
    <mergeCell ref="H8:H9"/>
    <mergeCell ref="I8:I9"/>
    <mergeCell ref="B16:I16"/>
    <mergeCell ref="B13:H13"/>
    <mergeCell ref="B8:B9"/>
    <mergeCell ref="C8:C9"/>
    <mergeCell ref="D8:E9"/>
    <mergeCell ref="F8:F9"/>
    <mergeCell ref="G8:G9"/>
    <mergeCell ref="B10:I10"/>
    <mergeCell ref="D11:E11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53"/>
  <sheetViews>
    <sheetView showRuler="0" zoomScaleNormal="100" workbookViewId="0">
      <selection activeCell="J51" sqref="J51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53" t="s">
        <v>98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x14ac:dyDescent="0.3">
      <c r="A2" s="153" t="s">
        <v>79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x14ac:dyDescent="0.3">
      <c r="A3" s="154" t="s">
        <v>99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x14ac:dyDescent="0.3">
      <c r="A4" s="59" t="s">
        <v>67</v>
      </c>
      <c r="B4" s="60"/>
      <c r="C4" s="60"/>
      <c r="D4" s="64"/>
      <c r="E4" s="59" t="s">
        <v>68</v>
      </c>
      <c r="F4" s="60"/>
      <c r="G4" s="60"/>
      <c r="H4" s="60"/>
      <c r="I4" s="64"/>
      <c r="J4" s="59" t="s">
        <v>75</v>
      </c>
      <c r="K4" s="60"/>
      <c r="L4" s="60"/>
      <c r="M4" s="64"/>
    </row>
    <row r="5" spans="1:13" x14ac:dyDescent="0.3">
      <c r="A5" s="59" t="s">
        <v>74</v>
      </c>
      <c r="B5" s="64"/>
      <c r="C5" s="59" t="s">
        <v>69</v>
      </c>
      <c r="D5" s="60"/>
      <c r="E5" s="60"/>
      <c r="F5" s="60"/>
      <c r="G5" s="60"/>
      <c r="H5" s="64"/>
      <c r="I5" s="59" t="s">
        <v>70</v>
      </c>
      <c r="J5" s="60"/>
      <c r="K5" s="60"/>
      <c r="L5" s="60"/>
      <c r="M5" s="64"/>
    </row>
    <row r="6" spans="1:13" x14ac:dyDescent="0.3">
      <c r="A6" s="59" t="s">
        <v>71</v>
      </c>
      <c r="B6" s="60"/>
      <c r="C6" s="60"/>
      <c r="D6" s="60"/>
      <c r="E6" s="60"/>
      <c r="F6" s="60"/>
      <c r="G6" s="64"/>
      <c r="H6" s="59" t="s">
        <v>72</v>
      </c>
      <c r="I6" s="60"/>
      <c r="J6" s="60"/>
      <c r="K6" s="60"/>
      <c r="L6" s="60"/>
      <c r="M6" s="64"/>
    </row>
    <row r="7" spans="1:13" x14ac:dyDescent="0.3">
      <c r="A7" s="59" t="s">
        <v>73</v>
      </c>
      <c r="B7" s="60"/>
      <c r="C7" s="60"/>
      <c r="D7" s="60"/>
      <c r="E7" s="60"/>
      <c r="F7" s="60"/>
      <c r="G7" s="60"/>
      <c r="H7" s="58"/>
      <c r="I7" s="58"/>
      <c r="J7" s="58"/>
      <c r="K7" s="58"/>
      <c r="L7" s="58"/>
      <c r="M7" s="58"/>
    </row>
    <row r="8" spans="1:13" x14ac:dyDescent="0.3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 ht="38.25" customHeight="1" x14ac:dyDescent="0.3">
      <c r="A9" s="158" t="s">
        <v>34</v>
      </c>
      <c r="B9" s="158"/>
      <c r="C9" s="158"/>
      <c r="D9" s="158"/>
      <c r="E9" s="159" t="s">
        <v>35</v>
      </c>
      <c r="F9" s="159"/>
      <c r="G9" s="155" t="s">
        <v>36</v>
      </c>
      <c r="H9" s="156"/>
      <c r="I9" s="157"/>
      <c r="J9" s="155" t="s">
        <v>37</v>
      </c>
      <c r="K9" s="156"/>
      <c r="L9" s="157"/>
      <c r="M9" s="34" t="s">
        <v>38</v>
      </c>
    </row>
    <row r="10" spans="1:13" x14ac:dyDescent="0.3">
      <c r="A10" s="140" t="s">
        <v>39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2"/>
    </row>
    <row r="11" spans="1:13" x14ac:dyDescent="0.3">
      <c r="A11" s="143" t="s">
        <v>40</v>
      </c>
      <c r="B11" s="144"/>
      <c r="C11" s="144"/>
      <c r="D11" s="145"/>
      <c r="E11" s="146">
        <v>5022.04</v>
      </c>
      <c r="F11" s="67"/>
      <c r="G11" s="132">
        <v>46064.52</v>
      </c>
      <c r="H11" s="134"/>
      <c r="I11" s="133"/>
      <c r="J11" s="132">
        <v>44359.62</v>
      </c>
      <c r="K11" s="134"/>
      <c r="L11" s="133"/>
      <c r="M11" s="38">
        <v>6726.94</v>
      </c>
    </row>
    <row r="12" spans="1:13" ht="14.25" customHeight="1" x14ac:dyDescent="0.3">
      <c r="A12" s="148" t="s">
        <v>41</v>
      </c>
      <c r="B12" s="149"/>
      <c r="C12" s="149"/>
      <c r="D12" s="150"/>
      <c r="E12" s="146">
        <v>4651.0600000000004</v>
      </c>
      <c r="F12" s="146"/>
      <c r="G12" s="146">
        <v>42661.8</v>
      </c>
      <c r="H12" s="146"/>
      <c r="I12" s="146"/>
      <c r="J12" s="146">
        <v>41082.86</v>
      </c>
      <c r="K12" s="146"/>
      <c r="L12" s="146"/>
      <c r="M12" s="38">
        <v>6230</v>
      </c>
    </row>
    <row r="13" spans="1:13" ht="21" customHeight="1" x14ac:dyDescent="0.3">
      <c r="A13" s="99" t="s">
        <v>42</v>
      </c>
      <c r="B13" s="100"/>
      <c r="C13" s="100"/>
      <c r="D13" s="101"/>
      <c r="E13" s="147"/>
      <c r="F13" s="151"/>
      <c r="G13" s="147">
        <f>SUM(G11:G12)</f>
        <v>88726.32</v>
      </c>
      <c r="H13" s="152"/>
      <c r="I13" s="151"/>
      <c r="J13" s="147">
        <f>SUM(J11:J12)</f>
        <v>85442.48000000001</v>
      </c>
      <c r="K13" s="100"/>
      <c r="L13" s="101"/>
      <c r="M13" s="37">
        <f>SUM(M11:M12)</f>
        <v>12956.939999999999</v>
      </c>
    </row>
    <row r="14" spans="1:13" x14ac:dyDescent="0.3">
      <c r="A14" s="67" t="s">
        <v>16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48">
        <v>3019.46</v>
      </c>
    </row>
    <row r="15" spans="1:13" x14ac:dyDescent="0.3">
      <c r="A15" s="99" t="s">
        <v>76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1"/>
      <c r="M15" s="37">
        <v>5733.16</v>
      </c>
    </row>
    <row r="16" spans="1:13" x14ac:dyDescent="0.3">
      <c r="A16" s="99" t="s">
        <v>56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1"/>
      <c r="M16" s="37">
        <v>1547.98</v>
      </c>
    </row>
    <row r="17" spans="1:18" x14ac:dyDescent="0.3">
      <c r="A17" s="140" t="s">
        <v>43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2"/>
    </row>
    <row r="18" spans="1:18" x14ac:dyDescent="0.3">
      <c r="A18" s="137" t="s">
        <v>13</v>
      </c>
      <c r="B18" s="138"/>
      <c r="C18" s="138"/>
      <c r="D18" s="139"/>
      <c r="E18" s="132">
        <v>235.62</v>
      </c>
      <c r="F18" s="133"/>
      <c r="G18" s="132">
        <v>2702.64</v>
      </c>
      <c r="H18" s="134"/>
      <c r="I18" s="133"/>
      <c r="J18" s="132">
        <v>2503.54</v>
      </c>
      <c r="K18" s="135"/>
      <c r="L18" s="136"/>
      <c r="M18" s="38">
        <v>434.72</v>
      </c>
    </row>
    <row r="19" spans="1:18" ht="14.25" customHeight="1" x14ac:dyDescent="0.3">
      <c r="A19" s="99" t="s">
        <v>14</v>
      </c>
      <c r="B19" s="100"/>
      <c r="C19" s="100"/>
      <c r="D19" s="101"/>
      <c r="E19" s="146">
        <v>104.82</v>
      </c>
      <c r="F19" s="146"/>
      <c r="G19" s="147">
        <v>993.24</v>
      </c>
      <c r="H19" s="152"/>
      <c r="I19" s="151"/>
      <c r="J19" s="147">
        <v>954.19</v>
      </c>
      <c r="K19" s="152"/>
      <c r="L19" s="151"/>
      <c r="M19" s="37">
        <v>143.87</v>
      </c>
    </row>
    <row r="20" spans="1:18" x14ac:dyDescent="0.3">
      <c r="A20" s="99" t="s">
        <v>15</v>
      </c>
      <c r="B20" s="100"/>
      <c r="C20" s="100"/>
      <c r="D20" s="101"/>
      <c r="E20" s="146">
        <v>808.17</v>
      </c>
      <c r="F20" s="146"/>
      <c r="G20" s="99">
        <v>7015.91</v>
      </c>
      <c r="H20" s="100"/>
      <c r="I20" s="101"/>
      <c r="J20" s="147">
        <v>7352.76</v>
      </c>
      <c r="K20" s="100"/>
      <c r="L20" s="101"/>
      <c r="M20" s="36">
        <v>1109.1300000000001</v>
      </c>
    </row>
    <row r="21" spans="1:18" ht="27.75" customHeight="1" x14ac:dyDescent="0.3">
      <c r="A21" s="148" t="s">
        <v>44</v>
      </c>
      <c r="B21" s="149"/>
      <c r="C21" s="149"/>
      <c r="D21" s="150"/>
      <c r="E21" s="146"/>
      <c r="F21" s="146"/>
      <c r="G21" s="147">
        <f>SUM(G18:G20)</f>
        <v>10711.79</v>
      </c>
      <c r="H21" s="152"/>
      <c r="I21" s="151"/>
      <c r="J21" s="99">
        <f>SUM(J18:J20)</f>
        <v>10810.49</v>
      </c>
      <c r="K21" s="100"/>
      <c r="L21" s="101"/>
      <c r="M21" s="36">
        <f>SUM(M18:M20)</f>
        <v>1687.7200000000003</v>
      </c>
    </row>
    <row r="22" spans="1:18" ht="18.75" customHeight="1" x14ac:dyDescent="0.3">
      <c r="A22" s="148" t="s">
        <v>9</v>
      </c>
      <c r="B22" s="149"/>
      <c r="C22" s="149"/>
      <c r="D22" s="149"/>
      <c r="E22" s="146"/>
      <c r="F22" s="146"/>
      <c r="G22" s="147"/>
      <c r="H22" s="152"/>
      <c r="I22" s="151"/>
      <c r="J22" s="99"/>
      <c r="K22" s="100"/>
      <c r="L22" s="101"/>
      <c r="M22" s="36">
        <f>M13+M14+M15+M16+M21</f>
        <v>24945.26</v>
      </c>
    </row>
    <row r="23" spans="1:18" ht="17.25" customHeight="1" x14ac:dyDescent="0.3">
      <c r="A23" s="166" t="s">
        <v>45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8"/>
    </row>
    <row r="24" spans="1:18" x14ac:dyDescent="0.3">
      <c r="A24" s="5" t="s">
        <v>20</v>
      </c>
      <c r="B24" s="158" t="s">
        <v>46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71" t="s">
        <v>47</v>
      </c>
      <c r="M24" s="171"/>
    </row>
    <row r="25" spans="1:18" x14ac:dyDescent="0.3">
      <c r="A25" s="32">
        <v>1</v>
      </c>
      <c r="B25" s="165" t="s">
        <v>28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47">
        <f>2944.46*12</f>
        <v>35333.520000000004</v>
      </c>
      <c r="M25" s="151"/>
    </row>
    <row r="26" spans="1:18" ht="15.75" customHeight="1" x14ac:dyDescent="0.3">
      <c r="A26" s="32">
        <v>2</v>
      </c>
      <c r="B26" s="165" t="s">
        <v>32</v>
      </c>
      <c r="C26" s="165"/>
      <c r="D26" s="165"/>
      <c r="E26" s="165"/>
      <c r="F26" s="165"/>
      <c r="G26" s="165"/>
      <c r="H26" s="165"/>
      <c r="I26" s="165"/>
      <c r="J26" s="165"/>
      <c r="K26" s="165"/>
      <c r="L26" s="99">
        <v>5900.25</v>
      </c>
      <c r="M26" s="101"/>
    </row>
    <row r="27" spans="1:18" ht="15.6" x14ac:dyDescent="0.3">
      <c r="A27" s="32">
        <v>3</v>
      </c>
      <c r="B27" s="165" t="s">
        <v>101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46">
        <f>54.53*12</f>
        <v>654.36</v>
      </c>
      <c r="M27" s="146"/>
      <c r="R27" s="49"/>
    </row>
    <row r="28" spans="1:18" x14ac:dyDescent="0.3">
      <c r="A28" s="32">
        <v>4</v>
      </c>
      <c r="B28" s="169" t="s">
        <v>63</v>
      </c>
      <c r="C28" s="169"/>
      <c r="D28" s="169"/>
      <c r="E28" s="169"/>
      <c r="F28" s="169"/>
      <c r="G28" s="169"/>
      <c r="H28" s="169"/>
      <c r="I28" s="169"/>
      <c r="J28" s="169"/>
      <c r="K28" s="170"/>
      <c r="L28" s="147">
        <f>'РЕМОНТ ЖИЛЬЯ'!I13</f>
        <v>4252</v>
      </c>
      <c r="M28" s="151"/>
    </row>
    <row r="29" spans="1:18" x14ac:dyDescent="0.3">
      <c r="A29" s="32">
        <v>5</v>
      </c>
      <c r="B29" s="186" t="s">
        <v>64</v>
      </c>
      <c r="C29" s="169"/>
      <c r="D29" s="169"/>
      <c r="E29" s="169"/>
      <c r="F29" s="169"/>
      <c r="G29" s="169"/>
      <c r="H29" s="169"/>
      <c r="I29" s="169"/>
      <c r="J29" s="169"/>
      <c r="K29" s="170"/>
      <c r="L29" s="147">
        <f>17971.94+5400</f>
        <v>23371.94</v>
      </c>
      <c r="M29" s="151"/>
    </row>
    <row r="30" spans="1:18" x14ac:dyDescent="0.3">
      <c r="A30" s="162" t="s">
        <v>48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4"/>
      <c r="L30" s="160">
        <f>SUM(L25:L29)</f>
        <v>69512.070000000007</v>
      </c>
      <c r="M30" s="161"/>
    </row>
    <row r="31" spans="1:18" x14ac:dyDescent="0.3">
      <c r="A31" s="182"/>
      <c r="B31" s="183"/>
      <c r="C31" s="183"/>
      <c r="D31" s="183"/>
      <c r="E31" s="183"/>
      <c r="F31" s="183"/>
      <c r="G31" s="183"/>
      <c r="H31" s="183"/>
      <c r="I31" s="183"/>
      <c r="J31" s="183"/>
      <c r="K31" s="184"/>
      <c r="L31" s="185"/>
      <c r="M31" s="185"/>
    </row>
    <row r="32" spans="1:18" x14ac:dyDescent="0.3">
      <c r="A32" s="173" t="s">
        <v>49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5"/>
      <c r="L32" s="176">
        <v>-7538.29</v>
      </c>
      <c r="M32" s="177"/>
    </row>
    <row r="33" spans="1:15" x14ac:dyDescent="0.3">
      <c r="A33" s="173" t="s">
        <v>53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5"/>
      <c r="L33" s="176">
        <f>M22</f>
        <v>24945.26</v>
      </c>
      <c r="M33" s="177"/>
    </row>
    <row r="34" spans="1:15" x14ac:dyDescent="0.3">
      <c r="A34" s="173" t="s">
        <v>50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5"/>
      <c r="L34" s="176">
        <f>J13</f>
        <v>85442.48000000001</v>
      </c>
      <c r="M34" s="177"/>
    </row>
    <row r="35" spans="1:15" x14ac:dyDescent="0.3">
      <c r="A35" s="173" t="s">
        <v>51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5"/>
      <c r="L35" s="176">
        <f>L30</f>
        <v>69512.070000000007</v>
      </c>
      <c r="M35" s="177"/>
    </row>
    <row r="36" spans="1:15" x14ac:dyDescent="0.3">
      <c r="A36" s="173" t="s">
        <v>52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5"/>
      <c r="L36" s="176">
        <f>L32+L34-L35</f>
        <v>8392.1200000000099</v>
      </c>
      <c r="M36" s="178"/>
      <c r="O36" s="42"/>
    </row>
    <row r="37" spans="1:15" x14ac:dyDescent="0.3">
      <c r="A37" s="33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</row>
    <row r="38" spans="1:15" x14ac:dyDescent="0.3">
      <c r="A38" s="35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0"/>
      <c r="M38" s="180"/>
    </row>
    <row r="39" spans="1:15" x14ac:dyDescent="0.3">
      <c r="A39" s="35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</row>
    <row r="40" spans="1:15" x14ac:dyDescent="0.3">
      <c r="A40" s="35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</row>
    <row r="41" spans="1:15" x14ac:dyDescent="0.3">
      <c r="A41" s="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"/>
      <c r="M41" s="1"/>
    </row>
    <row r="42" spans="1:15" x14ac:dyDescent="0.3">
      <c r="A42" s="1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mergeCells count="93">
    <mergeCell ref="L32:M32"/>
    <mergeCell ref="A14:L14"/>
    <mergeCell ref="A15:L15"/>
    <mergeCell ref="G21:I21"/>
    <mergeCell ref="J21:L21"/>
    <mergeCell ref="A21:D21"/>
    <mergeCell ref="A16:L16"/>
    <mergeCell ref="L31:M31"/>
    <mergeCell ref="L28:M28"/>
    <mergeCell ref="B29:K29"/>
    <mergeCell ref="L29:M29"/>
    <mergeCell ref="A19:D19"/>
    <mergeCell ref="G19:I19"/>
    <mergeCell ref="J19:L19"/>
    <mergeCell ref="A20:D20"/>
    <mergeCell ref="G20:I20"/>
    <mergeCell ref="A34:K34"/>
    <mergeCell ref="A35:K35"/>
    <mergeCell ref="B39:K39"/>
    <mergeCell ref="A31:K31"/>
    <mergeCell ref="A32:K32"/>
    <mergeCell ref="B41:K41"/>
    <mergeCell ref="B42:K42"/>
    <mergeCell ref="L42:M42"/>
    <mergeCell ref="A33:K33"/>
    <mergeCell ref="L33:M33"/>
    <mergeCell ref="L35:M35"/>
    <mergeCell ref="L36:M36"/>
    <mergeCell ref="L37:M37"/>
    <mergeCell ref="L38:M38"/>
    <mergeCell ref="L39:M39"/>
    <mergeCell ref="L40:M40"/>
    <mergeCell ref="L34:M34"/>
    <mergeCell ref="B37:K37"/>
    <mergeCell ref="B38:K38"/>
    <mergeCell ref="B40:K40"/>
    <mergeCell ref="A36:K36"/>
    <mergeCell ref="J20:L20"/>
    <mergeCell ref="E21:F21"/>
    <mergeCell ref="E20:F20"/>
    <mergeCell ref="E19:F19"/>
    <mergeCell ref="B27:K27"/>
    <mergeCell ref="L24:M24"/>
    <mergeCell ref="B25:K25"/>
    <mergeCell ref="A22:D22"/>
    <mergeCell ref="C5:H5"/>
    <mergeCell ref="I5:M5"/>
    <mergeCell ref="A6:G6"/>
    <mergeCell ref="H6:M6"/>
    <mergeCell ref="L30:M30"/>
    <mergeCell ref="E22:F22"/>
    <mergeCell ref="G22:I22"/>
    <mergeCell ref="J22:L22"/>
    <mergeCell ref="A30:K30"/>
    <mergeCell ref="B26:K26"/>
    <mergeCell ref="L25:M25"/>
    <mergeCell ref="L26:M26"/>
    <mergeCell ref="A23:M23"/>
    <mergeCell ref="L27:M27"/>
    <mergeCell ref="B24:K24"/>
    <mergeCell ref="B28:K28"/>
    <mergeCell ref="E12:F12"/>
    <mergeCell ref="A13:D13"/>
    <mergeCell ref="E13:F13"/>
    <mergeCell ref="G13:I13"/>
    <mergeCell ref="A1:M1"/>
    <mergeCell ref="A2:M2"/>
    <mergeCell ref="A3:M3"/>
    <mergeCell ref="G9:I9"/>
    <mergeCell ref="J9:L9"/>
    <mergeCell ref="A9:D9"/>
    <mergeCell ref="E9:F9"/>
    <mergeCell ref="A8:M8"/>
    <mergeCell ref="A4:D4"/>
    <mergeCell ref="E4:I4"/>
    <mergeCell ref="J4:M4"/>
    <mergeCell ref="A5:B5"/>
    <mergeCell ref="A7:G7"/>
    <mergeCell ref="H7:M7"/>
    <mergeCell ref="E18:F18"/>
    <mergeCell ref="G18:I18"/>
    <mergeCell ref="J18:L18"/>
    <mergeCell ref="A18:D18"/>
    <mergeCell ref="A10:M10"/>
    <mergeCell ref="A11:D11"/>
    <mergeCell ref="E11:F11"/>
    <mergeCell ref="J13:L13"/>
    <mergeCell ref="A17:M17"/>
    <mergeCell ref="G11:I11"/>
    <mergeCell ref="G12:I12"/>
    <mergeCell ref="J12:L12"/>
    <mergeCell ref="J11:L11"/>
    <mergeCell ref="A12:D12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Ленина 125-А</vt:lpstr>
      <vt:lpstr>СОДЕРЖАНИЕ ЖИЛЬЯ</vt:lpstr>
      <vt:lpstr>РЕМОНТ ЖИЛЬЯ</vt:lpstr>
      <vt:lpstr>ОТЧЕТ Ленина125-А  на подпись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2024-03-28T15:23:37Z</dcterms:modified>
</cp:coreProperties>
</file>