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отчеты 2023 югдомкомфорт\"/>
    </mc:Choice>
  </mc:AlternateContent>
  <xr:revisionPtr revIDLastSave="0" documentId="13_ncr:1_{2C346B90-E150-47B6-85A9-829AB9D872D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ОТЧЕТ Греческая 62-А" sheetId="1" r:id="rId1"/>
    <sheet name="СОДЕРЖАНИЕ ЖИЛЬЯ" sheetId="2" r:id="rId2"/>
    <sheet name="РЕМОНТ ЖИЛЬЯ" sheetId="3" r:id="rId3"/>
    <sheet name="ОТЧЕТ Греческая 62  на подпись" sheetId="4" r:id="rId4"/>
  </sheets>
  <calcPr calcId="191029" refMode="R1C1"/>
</workbook>
</file>

<file path=xl/calcChain.xml><?xml version="1.0" encoding="utf-8"?>
<calcChain xmlns="http://schemas.openxmlformats.org/spreadsheetml/2006/main">
  <c r="L31" i="4" l="1"/>
  <c r="M22" i="4" l="1"/>
  <c r="M21" i="4"/>
  <c r="M20" i="4"/>
  <c r="M18" i="4"/>
  <c r="M15" i="4"/>
  <c r="M14" i="4"/>
  <c r="M12" i="4"/>
  <c r="M11" i="4"/>
  <c r="I79" i="2"/>
  <c r="I80" i="2"/>
  <c r="K37" i="1"/>
  <c r="K38" i="1"/>
  <c r="K39" i="1"/>
  <c r="K31" i="1"/>
  <c r="K32" i="1"/>
  <c r="K33" i="1"/>
  <c r="K34" i="1"/>
  <c r="K35" i="1"/>
  <c r="K36" i="1"/>
  <c r="I73" i="2"/>
  <c r="I66" i="2"/>
  <c r="I74" i="2"/>
  <c r="I65" i="2"/>
  <c r="I60" i="2"/>
  <c r="I59" i="2"/>
  <c r="I54" i="2"/>
  <c r="I55" i="2"/>
  <c r="I49" i="2"/>
  <c r="I47" i="2"/>
  <c r="I46" i="2"/>
  <c r="I43" i="2"/>
  <c r="I42" i="2"/>
  <c r="I40" i="2"/>
  <c r="I37" i="2"/>
  <c r="I36" i="2"/>
  <c r="I35" i="2"/>
  <c r="I32" i="2"/>
  <c r="I31" i="2"/>
  <c r="I30" i="2"/>
  <c r="I27" i="2"/>
  <c r="I26" i="2"/>
  <c r="I24" i="2"/>
  <c r="I20" i="2"/>
  <c r="I21" i="2"/>
  <c r="I14" i="3"/>
  <c r="I30" i="1" s="1"/>
  <c r="K30" i="1" s="1"/>
  <c r="I15" i="2"/>
  <c r="I18" i="2"/>
  <c r="I44" i="2" l="1"/>
  <c r="I17" i="1" s="1"/>
  <c r="K17" i="1" s="1"/>
  <c r="I50" i="2"/>
  <c r="I18" i="1" s="1"/>
  <c r="K18" i="1" s="1"/>
  <c r="I33" i="2"/>
  <c r="I15" i="1" s="1"/>
  <c r="K15" i="1" s="1"/>
  <c r="I38" i="2"/>
  <c r="I16" i="1" s="1"/>
  <c r="K16" i="1" s="1"/>
  <c r="I28" i="2"/>
  <c r="I14" i="1" s="1"/>
  <c r="K14" i="1" s="1"/>
  <c r="I22" i="2"/>
  <c r="I13" i="1" s="1"/>
  <c r="K13" i="1" s="1"/>
  <c r="I14" i="2"/>
  <c r="I11" i="2"/>
  <c r="G41" i="1"/>
  <c r="E41" i="1"/>
  <c r="G24" i="1"/>
  <c r="E24" i="1"/>
  <c r="M53" i="1"/>
  <c r="M17" i="4" s="1"/>
  <c r="M52" i="1"/>
  <c r="M16" i="4" s="1"/>
  <c r="K47" i="1"/>
  <c r="I47" i="1"/>
  <c r="K46" i="1"/>
  <c r="I46" i="1"/>
  <c r="K45" i="1"/>
  <c r="I45" i="1"/>
  <c r="I16" i="2" l="1"/>
  <c r="I12" i="1" s="1"/>
  <c r="M45" i="1"/>
  <c r="M47" i="1" l="1"/>
  <c r="M46" i="1"/>
  <c r="K29" i="1"/>
  <c r="I18" i="3"/>
  <c r="M29" i="1"/>
  <c r="C30" i="1" s="1"/>
  <c r="M30" i="1" s="1"/>
  <c r="C31" i="1" s="1"/>
  <c r="M31" i="1" s="1"/>
  <c r="C32" i="1" s="1"/>
  <c r="M32" i="1" s="1"/>
  <c r="C33" i="1" s="1"/>
  <c r="M33" i="1" s="1"/>
  <c r="C34" i="1" s="1"/>
  <c r="M34" i="1" s="1"/>
  <c r="C35" i="1" s="1"/>
  <c r="M35" i="1" s="1"/>
  <c r="C36" i="1" s="1"/>
  <c r="M36" i="1" s="1"/>
  <c r="C37" i="1" s="1"/>
  <c r="M37" i="1" s="1"/>
  <c r="M12" i="1"/>
  <c r="C13" i="1" s="1"/>
  <c r="M13" i="1" s="1"/>
  <c r="C14" i="1" s="1"/>
  <c r="M14" i="1" s="1"/>
  <c r="C15" i="1" s="1"/>
  <c r="M15" i="1" s="1"/>
  <c r="C16" i="1" s="1"/>
  <c r="M16" i="1" s="1"/>
  <c r="C17" i="1" s="1"/>
  <c r="M17" i="1" s="1"/>
  <c r="C18" i="1" s="1"/>
  <c r="M18" i="1" s="1"/>
  <c r="C19" i="1" s="1"/>
  <c r="M19" i="1" s="1"/>
  <c r="C20" i="1" s="1"/>
  <c r="M20" i="1" s="1"/>
  <c r="I19" i="3" l="1"/>
  <c r="L30" i="4" s="1"/>
  <c r="I40" i="1"/>
  <c r="K40" i="1" s="1"/>
  <c r="K41" i="1" s="1"/>
  <c r="C38" i="1"/>
  <c r="M38" i="1" s="1"/>
  <c r="C21" i="1"/>
  <c r="M21" i="1" s="1"/>
  <c r="C39" i="1" l="1"/>
  <c r="M39" i="1" s="1"/>
  <c r="C22" i="1"/>
  <c r="M22" i="1" s="1"/>
  <c r="G23" i="4"/>
  <c r="C40" i="1" l="1"/>
  <c r="M40" i="1" s="1"/>
  <c r="C23" i="1"/>
  <c r="J23" i="4"/>
  <c r="M23" i="4"/>
  <c r="I77" i="2"/>
  <c r="I69" i="2"/>
  <c r="I63" i="2"/>
  <c r="I58" i="2"/>
  <c r="I52" i="2"/>
  <c r="M23" i="1" l="1"/>
  <c r="M24" i="1" s="1"/>
  <c r="L32" i="4"/>
  <c r="L37" i="4" s="1"/>
  <c r="J13" i="4"/>
  <c r="L36" i="4" s="1"/>
  <c r="G13" i="4"/>
  <c r="M13" i="4"/>
  <c r="M24" i="4" s="1"/>
  <c r="K48" i="1"/>
  <c r="I48" i="1"/>
  <c r="L38" i="4" l="1"/>
  <c r="L35" i="4"/>
  <c r="L7" i="1" l="1"/>
  <c r="L6" i="1"/>
  <c r="I81" i="2"/>
  <c r="I75" i="2"/>
  <c r="I22" i="1" s="1"/>
  <c r="K22" i="1" s="1"/>
  <c r="I67" i="2"/>
  <c r="I21" i="1" s="1"/>
  <c r="K21" i="1" s="1"/>
  <c r="I61" i="2"/>
  <c r="I20" i="1" s="1"/>
  <c r="K20" i="1" s="1"/>
  <c r="I56" i="2"/>
  <c r="I19" i="1" s="1"/>
  <c r="K19" i="1" s="1"/>
  <c r="I23" i="1" l="1"/>
  <c r="K23" i="1" s="1"/>
  <c r="I82" i="2"/>
  <c r="I24" i="1"/>
  <c r="K12" i="1"/>
  <c r="K24" i="1" s="1"/>
  <c r="K25" i="1" s="1"/>
  <c r="M41" i="1"/>
  <c r="I7" i="3"/>
  <c r="I7" i="2" l="1"/>
  <c r="I41" i="1" l="1"/>
  <c r="K42" i="1"/>
  <c r="M57" i="1" s="1"/>
  <c r="M48" i="1"/>
  <c r="M56" i="1" s="1"/>
</calcChain>
</file>

<file path=xl/sharedStrings.xml><?xml version="1.0" encoding="utf-8"?>
<sst xmlns="http://schemas.openxmlformats.org/spreadsheetml/2006/main" count="394" uniqueCount="154">
  <si>
    <t>Отчет по статье "Содержание общего имущества МКД"</t>
  </si>
  <si>
    <t>Месяц</t>
  </si>
  <si>
    <t>Начислено за отчетный период, руб.</t>
  </si>
  <si>
    <t>Оплачено за отчетный период, руб.</t>
  </si>
  <si>
    <t>Выполнено работ на сумму, руб.</t>
  </si>
  <si>
    <t xml:space="preserve">Остаток за отчетный период, руб.                                </t>
  </si>
  <si>
    <t>Задолженность жителей на начало отчетного периода        ( руб.)</t>
  </si>
  <si>
    <t>Декабрь</t>
  </si>
  <si>
    <t>Задолженность жителей на конец отчетного периода (руб.)</t>
  </si>
  <si>
    <t>ИТОГО:</t>
  </si>
  <si>
    <t>Отчет по статье "Ремонт общего имущества МКД"</t>
  </si>
  <si>
    <t xml:space="preserve"> Постоянные статьи </t>
  </si>
  <si>
    <t>Статья</t>
  </si>
  <si>
    <t>ХВС СОИД</t>
  </si>
  <si>
    <t>Водоотведение СОИД</t>
  </si>
  <si>
    <t>Электроэнергия СОИД</t>
  </si>
  <si>
    <t>Управление МКД</t>
  </si>
  <si>
    <t>Баланс дома по факту оплат</t>
  </si>
  <si>
    <t>Информация о выполненных работах</t>
  </si>
  <si>
    <t>по состоянию на</t>
  </si>
  <si>
    <t>№ п/п</t>
  </si>
  <si>
    <t>Место проведения работ</t>
  </si>
  <si>
    <t>Вид работ</t>
  </si>
  <si>
    <t>Ед. изм.</t>
  </si>
  <si>
    <t>Кол-во</t>
  </si>
  <si>
    <t>по статье "Содержание общего имущества МКД"</t>
  </si>
  <si>
    <t>Стоимость</t>
  </si>
  <si>
    <t xml:space="preserve">Дата, № АКТА
</t>
  </si>
  <si>
    <t xml:space="preserve">Аварийно-ремонтное обслуживание </t>
  </si>
  <si>
    <r>
      <t>м</t>
    </r>
    <r>
      <rPr>
        <sz val="10"/>
        <rFont val="Calibri"/>
        <family val="2"/>
        <charset val="204"/>
      </rPr>
      <t>²</t>
    </r>
  </si>
  <si>
    <t>МКД</t>
  </si>
  <si>
    <t>мес</t>
  </si>
  <si>
    <t>по статье "Ремонт общего имущества МКД"</t>
  </si>
  <si>
    <t>Наименование</t>
  </si>
  <si>
    <t>Сальдо на начало периода</t>
  </si>
  <si>
    <t>Начисленно</t>
  </si>
  <si>
    <t>Собранно</t>
  </si>
  <si>
    <t>Долг за насилением</t>
  </si>
  <si>
    <t>ЖИЛИЩНЫЕ УСЛУГИ</t>
  </si>
  <si>
    <t>Содержание общего имущества МКД</t>
  </si>
  <si>
    <t>Ремонт общего имущества МКД</t>
  </si>
  <si>
    <t>ИТОГО по жилищным услугам</t>
  </si>
  <si>
    <t>КОММУНАЛЬНЫЕ РЕСУРСЫ В ЦЕЛЯХ СОДЕРЖАНИЯ ОБЩЕГО ИМУЩЕСТВА МКД (СОИД)</t>
  </si>
  <si>
    <t>ИТОГО по коммунальным услугам</t>
  </si>
  <si>
    <t>РАСПРЕДЕЛЕНИЕ СТОИМОСТИ РАБОТ</t>
  </si>
  <si>
    <t>Наименование статей затрат</t>
  </si>
  <si>
    <t>Ед. изм. Руб.</t>
  </si>
  <si>
    <t>ВСЕГО РАСХОДОВ</t>
  </si>
  <si>
    <t>Наличие средст на начало указанного периода</t>
  </si>
  <si>
    <t>Оплаченно за указанный период</t>
  </si>
  <si>
    <t>Затраченно за указанный период</t>
  </si>
  <si>
    <t>Наличие средств на конец указанного периода</t>
  </si>
  <si>
    <t>Задолженность за насилением на конец отчетного периода</t>
  </si>
  <si>
    <t xml:space="preserve">Остаток по статье "Содержание общего имущества МКД" на начало периода </t>
  </si>
  <si>
    <t xml:space="preserve">Остаток по статье "Ремонт общего имущества МКД" на начало периода </t>
  </si>
  <si>
    <t xml:space="preserve">Содержание газовых сетей </t>
  </si>
  <si>
    <t xml:space="preserve">Остаток по статье "Содержание общего имущества МКД" на конец периода </t>
  </si>
  <si>
    <t>Август</t>
  </si>
  <si>
    <t>Сентябрь</t>
  </si>
  <si>
    <t>Октябрь</t>
  </si>
  <si>
    <t>Ноябрь</t>
  </si>
  <si>
    <t>Проверка вентканалов и дымоходов</t>
  </si>
  <si>
    <t>усл.</t>
  </si>
  <si>
    <t>Ремонт ОИ</t>
  </si>
  <si>
    <t>Содержание ОИ</t>
  </si>
  <si>
    <t>Доп. Услуги</t>
  </si>
  <si>
    <t>Лицевой счет МКД по адресу: г. Таганрог, ул.  Греческая, д. 62-А</t>
  </si>
  <si>
    <t>Протокол №1 от 28 апреля 2022г.</t>
  </si>
  <si>
    <t>Содержание общего имущества МКД -8,50 руб.</t>
  </si>
  <si>
    <t>Ремонт общего имущества МКД - 7,50 руб.</t>
  </si>
  <si>
    <t>Содержание газовых сетей - 1,26 руб.</t>
  </si>
  <si>
    <t>Управление многоквартирным домом - 2,50 руб.</t>
  </si>
  <si>
    <t>Уборка придомовой территории- 2,90</t>
  </si>
  <si>
    <t>Уборка лестничных клетей -1,20</t>
  </si>
  <si>
    <t>Уборка придомовой территории</t>
  </si>
  <si>
    <t>Уборка лестничных клетей</t>
  </si>
  <si>
    <t>Тариф -23,86 руб.</t>
  </si>
  <si>
    <t>на доме № 62-А по ул. Греческая</t>
  </si>
  <si>
    <t>Приказ ГЖИ № 983-Л  от 05.07.22г.</t>
  </si>
  <si>
    <t>Управляющая компания ООО "УК "ЮгДомКомфорт" с  01.08.2022 г.</t>
  </si>
  <si>
    <t>Гидравлические испытания системы ЦО</t>
  </si>
  <si>
    <t>Промывка, шайбировка, заполнение системы</t>
  </si>
  <si>
    <t>S жилых помещений - 985,6 м²</t>
  </si>
  <si>
    <t>дома по адресу: Ростовская область, г. Таганрог, ул.Греческая, д. 62-А</t>
  </si>
  <si>
    <t>Должники на 01.01.2023г.</t>
  </si>
  <si>
    <t>Баланс дома на 01.01.2023г.</t>
  </si>
  <si>
    <t>Начисленно средств за 2023г.</t>
  </si>
  <si>
    <t>Оплачено средств за 2023г.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</si>
  <si>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</si>
  <si>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</si>
  <si>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</si>
  <si>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</si>
  <si>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</si>
  <si>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</si>
  <si>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</si>
  <si>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Задолженность на 31.12.2023г.</t>
  </si>
  <si>
    <t>за период с 01.01.2023г. по 31.12.2023г.</t>
  </si>
  <si>
    <t>Январь 2023г.</t>
  </si>
  <si>
    <t>31.01.2023г.</t>
  </si>
  <si>
    <t>ИТОГО январь 2023г.</t>
  </si>
  <si>
    <t>Закраска граффити</t>
  </si>
  <si>
    <t>Услуги по формированию, печати и доставки квитанций, расчетно-кассовое обслуживание</t>
  </si>
  <si>
    <t>Информационное обслуживание, раскрытие информаации на сайте ГИС ЖКХ</t>
  </si>
  <si>
    <t>Февраль 2023г.</t>
  </si>
  <si>
    <t>28.09.2023г.</t>
  </si>
  <si>
    <t>ИТОГО февраль 2023г.</t>
  </si>
  <si>
    <t>Февральт 2023г.</t>
  </si>
  <si>
    <t>28.02.2023г.</t>
  </si>
  <si>
    <t>Замена плафона и розетки в подвале</t>
  </si>
  <si>
    <t>Устройство дренажного приямка для откачки стоков</t>
  </si>
  <si>
    <t xml:space="preserve">Установка насоса </t>
  </si>
  <si>
    <t>Март 2023г.</t>
  </si>
  <si>
    <t>31.03.2023г.</t>
  </si>
  <si>
    <t>ИТОГО март 2023г.</t>
  </si>
  <si>
    <t xml:space="preserve">Материалы: мешки для мусора - 1 уп., перчатки прорезиненные 1 пара   </t>
  </si>
  <si>
    <t>Апрель 2023г.</t>
  </si>
  <si>
    <t>30.04.2023г.</t>
  </si>
  <si>
    <t>ИТОГО апрель 2023г.</t>
  </si>
  <si>
    <t>Май 2023г.</t>
  </si>
  <si>
    <t>31.05.2023г.</t>
  </si>
  <si>
    <t>ИТОГО май 2023г.</t>
  </si>
  <si>
    <t>Июнь 2023г.</t>
  </si>
  <si>
    <t>30.06.2023г.</t>
  </si>
  <si>
    <t>ИТОГО июнь 2023г.</t>
  </si>
  <si>
    <t>Июль 2023г.</t>
  </si>
  <si>
    <t>ИТОГО июль 2023г.</t>
  </si>
  <si>
    <t>31.07.2023г.</t>
  </si>
  <si>
    <t>Август 2023г.</t>
  </si>
  <si>
    <t>ИТОГО август 2023г.</t>
  </si>
  <si>
    <t>31.08.2023г.</t>
  </si>
  <si>
    <t>Пароверка вентканалов и дымоходов</t>
  </si>
  <si>
    <t>Материалы: мешки для мусора - 1уп.</t>
  </si>
  <si>
    <t>Сентябрь 2023г.</t>
  </si>
  <si>
    <t>30.09.2023г.</t>
  </si>
  <si>
    <t>ИТОГО сентябрь 2023г.</t>
  </si>
  <si>
    <t>Октябрь 2023г.</t>
  </si>
  <si>
    <t>ИТОГО октябрь 2023г.</t>
  </si>
  <si>
    <t>31.10.2023г.</t>
  </si>
  <si>
    <t>Ноябрь 2023г.</t>
  </si>
  <si>
    <t>ИТОГО ноябрь 2023г.</t>
  </si>
  <si>
    <t>30.11.2023г.</t>
  </si>
  <si>
    <t>Прочистка водосточных труб</t>
  </si>
  <si>
    <t>Материалы: мешки для мусора 240 л -3 шт, мешки для мусора-2 шт, перчатки х/б 2 пары</t>
  </si>
  <si>
    <t>Декабрь 2023г.</t>
  </si>
  <si>
    <t>31.12.2023г.</t>
  </si>
  <si>
    <t>ИТОГО декабрь 2023г.</t>
  </si>
  <si>
    <t xml:space="preserve">Ремонт вхолной двери </t>
  </si>
  <si>
    <t>Замена участка канализации</t>
  </si>
  <si>
    <t xml:space="preserve">ИТОГО за 2023г. </t>
  </si>
  <si>
    <t>Информация за 2023г.</t>
  </si>
  <si>
    <t>ОТЧЕТ ООО "Управляющая компания "ЮгДомКомфорт" за 2023г. перед собственниками</t>
  </si>
  <si>
    <t>с 01.01.2023г. по 31.12.2023г.</t>
  </si>
  <si>
    <t>ТО ВДГО</t>
  </si>
  <si>
    <t>Приобретение и доставка материалов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</si>
</sst>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0" fillId="0" borderId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0" fontId="21" fillId="0" borderId="0" applyNumberFormat="0" applyBorder="0" applyProtection="0"/>
    <xf numFmtId="164" fontId="21" fillId="0" borderId="0" applyBorder="0" applyProtection="0"/>
  </cellStyleXfs>
  <cellXfs count="19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/>
    <xf numFmtId="2" fontId="4" fillId="4" borderId="4" xfId="0" applyNumberFormat="1" applyFont="1" applyFill="1" applyBorder="1" applyAlignment="1">
      <alignment horizontal="right" vertical="center" wrapText="1"/>
    </xf>
    <xf numFmtId="0" fontId="8" fillId="0" borderId="4" xfId="0" applyFont="1" applyBorder="1"/>
    <xf numFmtId="2" fontId="9" fillId="0" borderId="4" xfId="0" applyNumberFormat="1" applyFont="1" applyBorder="1"/>
    <xf numFmtId="0" fontId="11" fillId="0" borderId="0" xfId="2" applyFont="1" applyAlignment="1">
      <alignment horizontal="center" vertical="center" wrapText="1"/>
    </xf>
    <xf numFmtId="0" fontId="12" fillId="0" borderId="0" xfId="2" applyFont="1"/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wrapText="1"/>
    </xf>
    <xf numFmtId="0" fontId="10" fillId="0" borderId="0" xfId="2"/>
    <xf numFmtId="0" fontId="13" fillId="0" borderId="0" xfId="2" applyFont="1"/>
    <xf numFmtId="0" fontId="14" fillId="0" borderId="0" xfId="2" applyFont="1"/>
    <xf numFmtId="0" fontId="15" fillId="0" borderId="0" xfId="2" applyFont="1"/>
    <xf numFmtId="0" fontId="14" fillId="0" borderId="0" xfId="2" applyFont="1" applyAlignment="1">
      <alignment horizontal="left" vertical="center" wrapText="1"/>
    </xf>
    <xf numFmtId="0" fontId="16" fillId="0" borderId="0" xfId="2" applyFont="1"/>
    <xf numFmtId="0" fontId="17" fillId="0" borderId="0" xfId="2" applyFont="1" applyAlignment="1">
      <alignment horizontal="right"/>
    </xf>
    <xf numFmtId="14" fontId="17" fillId="0" borderId="0" xfId="2" applyNumberFormat="1" applyFont="1" applyAlignment="1">
      <alignment horizontal="left"/>
    </xf>
    <xf numFmtId="0" fontId="15" fillId="0" borderId="4" xfId="2" applyFont="1" applyBorder="1" applyAlignment="1">
      <alignment horizontal="right" vertical="center" wrapText="1"/>
    </xf>
    <xf numFmtId="0" fontId="15" fillId="0" borderId="4" xfId="2" applyFont="1" applyBorder="1" applyAlignment="1">
      <alignment horizontal="center" vertical="center" wrapText="1"/>
    </xf>
    <xf numFmtId="0" fontId="19" fillId="0" borderId="0" xfId="2" applyFont="1" applyAlignment="1">
      <alignment horizontal="left" vertical="center" wrapText="1"/>
    </xf>
    <xf numFmtId="3" fontId="19" fillId="0" borderId="0" xfId="2" applyNumberFormat="1" applyFont="1" applyAlignment="1">
      <alignment horizontal="left" vertical="center"/>
    </xf>
    <xf numFmtId="4" fontId="18" fillId="0" borderId="0" xfId="2" applyNumberFormat="1" applyFont="1" applyAlignment="1">
      <alignment horizontal="right" vertical="center"/>
    </xf>
    <xf numFmtId="0" fontId="22" fillId="0" borderId="4" xfId="2" applyFont="1" applyBorder="1" applyAlignment="1">
      <alignment horizontal="left" vertical="center" wrapText="1"/>
    </xf>
    <xf numFmtId="0" fontId="22" fillId="0" borderId="4" xfId="2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right" vertical="center" wrapText="1"/>
    </xf>
    <xf numFmtId="0" fontId="25" fillId="0" borderId="0" xfId="2" applyFont="1"/>
    <xf numFmtId="0" fontId="26" fillId="0" borderId="0" xfId="2" applyFont="1" applyAlignment="1">
      <alignment horizontal="left" vertical="center" wrapText="1"/>
    </xf>
    <xf numFmtId="0" fontId="26" fillId="0" borderId="0" xfId="2" applyFont="1"/>
    <xf numFmtId="0" fontId="27" fillId="0" borderId="0" xfId="2" applyFont="1"/>
    <xf numFmtId="4" fontId="24" fillId="2" borderId="4" xfId="2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8" fillId="0" borderId="4" xfId="0" applyNumberFormat="1" applyFont="1" applyBorder="1"/>
    <xf numFmtId="2" fontId="8" fillId="0" borderId="3" xfId="0" applyNumberFormat="1" applyFont="1" applyBorder="1"/>
    <xf numFmtId="2" fontId="8" fillId="4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/>
    <xf numFmtId="4" fontId="4" fillId="5" borderId="4" xfId="2" applyNumberFormat="1" applyFont="1" applyFill="1" applyBorder="1" applyAlignment="1">
      <alignment horizontal="right" vertical="center" wrapText="1"/>
    </xf>
    <xf numFmtId="4" fontId="10" fillId="0" borderId="0" xfId="2" applyNumberFormat="1"/>
    <xf numFmtId="2" fontId="0" fillId="0" borderId="0" xfId="0" applyNumberForma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2" fontId="3" fillId="0" borderId="4" xfId="0" applyNumberFormat="1" applyFont="1" applyBorder="1"/>
    <xf numFmtId="2" fontId="3" fillId="2" borderId="1" xfId="0" applyNumberFormat="1" applyFont="1" applyFill="1" applyBorder="1"/>
    <xf numFmtId="2" fontId="3" fillId="2" borderId="2" xfId="0" applyNumberFormat="1" applyFont="1" applyFill="1" applyBorder="1"/>
    <xf numFmtId="4" fontId="8" fillId="0" borderId="3" xfId="0" applyNumberFormat="1" applyFont="1" applyBorder="1"/>
    <xf numFmtId="4" fontId="24" fillId="0" borderId="0" xfId="2" applyNumberFormat="1" applyFont="1" applyAlignment="1">
      <alignment horizontal="right" vertical="center" wrapText="1"/>
    </xf>
    <xf numFmtId="1" fontId="22" fillId="0" borderId="4" xfId="0" applyNumberFormat="1" applyFont="1" applyBorder="1" applyAlignment="1">
      <alignment horizontal="left" vertical="top" wrapText="1"/>
    </xf>
    <xf numFmtId="2" fontId="3" fillId="0" borderId="4" xfId="0" applyNumberFormat="1" applyFont="1" applyBorder="1"/>
    <xf numFmtId="0" fontId="3" fillId="0" borderId="4" xfId="0" applyFont="1" applyBorder="1"/>
    <xf numFmtId="2" fontId="3" fillId="0" borderId="1" xfId="0" applyNumberFormat="1" applyFont="1" applyBorder="1"/>
    <xf numFmtId="2" fontId="3" fillId="0" borderId="3" xfId="0" applyNumberFormat="1" applyFont="1" applyBorder="1"/>
    <xf numFmtId="4" fontId="3" fillId="0" borderId="1" xfId="0" applyNumberFormat="1" applyFont="1" applyBorder="1"/>
    <xf numFmtId="4" fontId="3" fillId="0" borderId="3" xfId="0" applyNumberFormat="1" applyFont="1" applyBorder="1"/>
    <xf numFmtId="2" fontId="3" fillId="4" borderId="1" xfId="0" applyNumberFormat="1" applyFont="1" applyFill="1" applyBorder="1"/>
    <xf numFmtId="2" fontId="3" fillId="4" borderId="3" xfId="0" applyNumberFormat="1" applyFont="1" applyFill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2" fontId="3" fillId="2" borderId="1" xfId="0" applyNumberFormat="1" applyFont="1" applyFill="1" applyBorder="1"/>
    <xf numFmtId="2" fontId="3" fillId="2" borderId="3" xfId="0" applyNumberFormat="1" applyFont="1" applyFill="1" applyBorder="1"/>
    <xf numFmtId="2" fontId="3" fillId="2" borderId="4" xfId="0" applyNumberFormat="1" applyFont="1" applyFill="1" applyBorder="1"/>
    <xf numFmtId="0" fontId="3" fillId="2" borderId="3" xfId="0" applyFont="1" applyFill="1" applyBorder="1"/>
    <xf numFmtId="0" fontId="8" fillId="0" borderId="4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2" fontId="3" fillId="4" borderId="2" xfId="0" applyNumberFormat="1" applyFont="1" applyFill="1" applyBorder="1" applyAlignment="1">
      <alignment horizontal="right" vertical="center" wrapText="1"/>
    </xf>
    <xf numFmtId="2" fontId="3" fillId="4" borderId="3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2" fontId="4" fillId="4" borderId="1" xfId="1" applyNumberFormat="1" applyFont="1" applyFill="1" applyBorder="1" applyAlignment="1">
      <alignment horizontal="right" vertical="center" wrapText="1"/>
    </xf>
    <xf numFmtId="0" fontId="4" fillId="4" borderId="3" xfId="1" applyFont="1" applyFill="1" applyBorder="1" applyAlignment="1">
      <alignment horizontal="right" vertical="center" wrapText="1"/>
    </xf>
    <xf numFmtId="0" fontId="3" fillId="2" borderId="4" xfId="0" applyFont="1" applyFill="1" applyBorder="1"/>
    <xf numFmtId="2" fontId="6" fillId="2" borderId="4" xfId="0" applyNumberFormat="1" applyFont="1" applyFill="1" applyBorder="1"/>
    <xf numFmtId="0" fontId="6" fillId="2" borderId="4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3" xfId="0" applyNumberFormat="1" applyFont="1" applyFill="1" applyBorder="1" applyAlignment="1">
      <alignment horizontal="right" vertical="center" wrapText="1"/>
    </xf>
    <xf numFmtId="2" fontId="3" fillId="2" borderId="2" xfId="0" applyNumberFormat="1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2" borderId="2" xfId="0" applyFont="1" applyFill="1" applyBorder="1"/>
    <xf numFmtId="0" fontId="22" fillId="0" borderId="1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4" fillId="5" borderId="1" xfId="2" applyFont="1" applyFill="1" applyBorder="1" applyAlignment="1">
      <alignment horizontal="left" vertical="center" wrapText="1"/>
    </xf>
    <xf numFmtId="0" fontId="4" fillId="5" borderId="2" xfId="2" applyFont="1" applyFill="1" applyBorder="1" applyAlignment="1">
      <alignment horizontal="left" vertical="center" wrapText="1"/>
    </xf>
    <xf numFmtId="0" fontId="4" fillId="5" borderId="3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18" fillId="3" borderId="10" xfId="2" applyFont="1" applyFill="1" applyBorder="1" applyAlignment="1">
      <alignment horizontal="center" vertical="center" wrapText="1"/>
    </xf>
    <xf numFmtId="0" fontId="15" fillId="0" borderId="0" xfId="2" applyFont="1" applyAlignment="1">
      <alignment wrapText="1"/>
    </xf>
    <xf numFmtId="0" fontId="18" fillId="3" borderId="5" xfId="2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wrapText="1"/>
    </xf>
    <xf numFmtId="0" fontId="15" fillId="3" borderId="9" xfId="2" applyFont="1" applyFill="1" applyBorder="1" applyAlignment="1">
      <alignment wrapText="1"/>
    </xf>
    <xf numFmtId="0" fontId="24" fillId="2" borderId="1" xfId="2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 wrapText="1"/>
    </xf>
    <xf numFmtId="0" fontId="24" fillId="2" borderId="3" xfId="2" applyFont="1" applyFill="1" applyBorder="1" applyAlignment="1">
      <alignment horizontal="center" vertical="center" wrapText="1"/>
    </xf>
    <xf numFmtId="2" fontId="8" fillId="0" borderId="1" xfId="0" applyNumberFormat="1" applyFont="1" applyBorder="1"/>
    <xf numFmtId="2" fontId="8" fillId="0" borderId="4" xfId="0" applyNumberFormat="1" applyFont="1" applyBorder="1"/>
    <xf numFmtId="2" fontId="8" fillId="0" borderId="2" xfId="0" applyNumberFormat="1" applyFont="1" applyBorder="1"/>
    <xf numFmtId="2" fontId="8" fillId="0" borderId="3" xfId="0" applyNumberFormat="1" applyFont="1" applyBorder="1"/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2" fontId="8" fillId="4" borderId="1" xfId="0" applyNumberFormat="1" applyFont="1" applyFill="1" applyBorder="1" applyAlignment="1">
      <alignment horizontal="right"/>
    </xf>
    <xf numFmtId="2" fontId="8" fillId="4" borderId="3" xfId="0" applyNumberFormat="1" applyFont="1" applyFill="1" applyBorder="1" applyAlignment="1">
      <alignment horizontal="right"/>
    </xf>
    <xf numFmtId="2" fontId="8" fillId="4" borderId="2" xfId="0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right"/>
    </xf>
    <xf numFmtId="2" fontId="7" fillId="0" borderId="3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2" fontId="8" fillId="0" borderId="1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left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8" fillId="0" borderId="4" xfId="0" applyFont="1" applyBorder="1" applyAlignment="1">
      <alignment horizontal="left"/>
    </xf>
  </cellXfs>
  <cellStyles count="7">
    <cellStyle name="Heading" xfId="3" xr:uid="{00000000-0005-0000-0000-000000000000}"/>
    <cellStyle name="Heading1" xfId="4" xr:uid="{00000000-0005-0000-0000-000001000000}"/>
    <cellStyle name="Result" xfId="5" xr:uid="{00000000-0005-0000-0000-000002000000}"/>
    <cellStyle name="Result2" xfId="6" xr:uid="{00000000-0005-0000-0000-000003000000}"/>
    <cellStyle name="Обычный" xfId="0" builtinId="0"/>
    <cellStyle name="Обычный 2" xfId="1" xr:uid="{00000000-0005-0000-0000-000005000000}"/>
    <cellStyle name="Обычный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61"/>
  <sheetViews>
    <sheetView tabSelected="1" showRuler="0" zoomScaleNormal="100" workbookViewId="0">
      <selection activeCell="N1" sqref="N1"/>
    </sheetView>
  </sheetViews>
  <sheetFormatPr defaultRowHeight="14.4" x14ac:dyDescent="0.3"/>
  <cols>
    <col min="2" max="2" width="11" customWidth="1"/>
    <col min="4" max="4" width="9.6640625" customWidth="1"/>
    <col min="6" max="6" width="9.109375" customWidth="1"/>
    <col min="8" max="8" width="9.44140625" customWidth="1"/>
    <col min="12" max="12" width="8" customWidth="1"/>
    <col min="13" max="13" width="18.6640625" customWidth="1"/>
  </cols>
  <sheetData>
    <row r="1" spans="1:13" x14ac:dyDescent="0.3">
      <c r="A1" s="75" t="s">
        <v>66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3" x14ac:dyDescent="0.3">
      <c r="A2" s="60" t="s">
        <v>82</v>
      </c>
      <c r="B2" s="61"/>
      <c r="C2" s="61"/>
      <c r="D2" s="62"/>
      <c r="E2" s="60" t="s">
        <v>67</v>
      </c>
      <c r="F2" s="61"/>
      <c r="G2" s="61"/>
      <c r="H2" s="61"/>
      <c r="I2" s="62"/>
      <c r="J2" s="60" t="s">
        <v>78</v>
      </c>
      <c r="K2" s="61"/>
      <c r="L2" s="61"/>
      <c r="M2" s="62"/>
    </row>
    <row r="3" spans="1:13" x14ac:dyDescent="0.3">
      <c r="A3" s="60" t="s">
        <v>76</v>
      </c>
      <c r="B3" s="62"/>
      <c r="C3" s="60" t="s">
        <v>68</v>
      </c>
      <c r="D3" s="61"/>
      <c r="E3" s="61"/>
      <c r="F3" s="61"/>
      <c r="G3" s="61"/>
      <c r="H3" s="62"/>
      <c r="I3" s="60" t="s">
        <v>69</v>
      </c>
      <c r="J3" s="61"/>
      <c r="K3" s="61"/>
      <c r="L3" s="61"/>
      <c r="M3" s="62"/>
    </row>
    <row r="4" spans="1:13" x14ac:dyDescent="0.3">
      <c r="A4" s="60" t="s">
        <v>71</v>
      </c>
      <c r="B4" s="61"/>
      <c r="C4" s="61"/>
      <c r="D4" s="61"/>
      <c r="E4" s="61"/>
      <c r="F4" s="61"/>
      <c r="G4" s="62"/>
      <c r="H4" s="60" t="s">
        <v>70</v>
      </c>
      <c r="I4" s="61"/>
      <c r="J4" s="61"/>
      <c r="K4" s="61"/>
      <c r="L4" s="61"/>
      <c r="M4" s="62"/>
    </row>
    <row r="5" spans="1:13" x14ac:dyDescent="0.3">
      <c r="A5" s="60" t="s">
        <v>72</v>
      </c>
      <c r="B5" s="61"/>
      <c r="C5" s="61"/>
      <c r="D5" s="61"/>
      <c r="E5" s="61"/>
      <c r="F5" s="61"/>
      <c r="G5" s="61"/>
      <c r="H5" s="53" t="s">
        <v>73</v>
      </c>
      <c r="I5" s="53"/>
      <c r="J5" s="53"/>
      <c r="K5" s="53"/>
      <c r="L5" s="53"/>
      <c r="M5" s="53"/>
    </row>
    <row r="6" spans="1:13" x14ac:dyDescent="0.3">
      <c r="A6" s="60" t="s">
        <v>84</v>
      </c>
      <c r="B6" s="61"/>
      <c r="C6" s="61"/>
      <c r="D6" s="62"/>
      <c r="E6" s="54">
        <v>30814.23</v>
      </c>
      <c r="F6" s="55"/>
      <c r="G6" s="60" t="s">
        <v>86</v>
      </c>
      <c r="H6" s="61"/>
      <c r="I6" s="61"/>
      <c r="J6" s="61"/>
      <c r="K6" s="62"/>
      <c r="L6" s="54">
        <f>E24+E41</f>
        <v>189235.20000000001</v>
      </c>
      <c r="M6" s="55"/>
    </row>
    <row r="7" spans="1:13" x14ac:dyDescent="0.3">
      <c r="A7" s="60" t="s">
        <v>85</v>
      </c>
      <c r="B7" s="61"/>
      <c r="C7" s="61"/>
      <c r="D7" s="62"/>
      <c r="E7" s="54">
        <v>-9872.84</v>
      </c>
      <c r="F7" s="55"/>
      <c r="G7" s="60" t="s">
        <v>87</v>
      </c>
      <c r="H7" s="61"/>
      <c r="I7" s="61"/>
      <c r="J7" s="61"/>
      <c r="K7" s="62"/>
      <c r="L7" s="54">
        <f>G24+G41</f>
        <v>182435.20000000001</v>
      </c>
      <c r="M7" s="62"/>
    </row>
    <row r="8" spans="1:13" x14ac:dyDescent="0.3">
      <c r="A8" s="95" t="s">
        <v>149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7"/>
    </row>
    <row r="9" spans="1:13" x14ac:dyDescent="0.3">
      <c r="A9" s="75" t="s">
        <v>0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7"/>
    </row>
    <row r="10" spans="1:13" ht="14.25" customHeight="1" x14ac:dyDescent="0.3">
      <c r="A10" s="60" t="s">
        <v>53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54">
        <v>-9598.09</v>
      </c>
      <c r="M10" s="55"/>
    </row>
    <row r="11" spans="1:13" ht="54.75" customHeight="1" x14ac:dyDescent="0.3">
      <c r="A11" s="78" t="s">
        <v>1</v>
      </c>
      <c r="B11" s="78"/>
      <c r="C11" s="79" t="s">
        <v>6</v>
      </c>
      <c r="D11" s="78"/>
      <c r="E11" s="79" t="s">
        <v>2</v>
      </c>
      <c r="F11" s="78"/>
      <c r="G11" s="79" t="s">
        <v>3</v>
      </c>
      <c r="H11" s="79"/>
      <c r="I11" s="80" t="s">
        <v>4</v>
      </c>
      <c r="J11" s="80"/>
      <c r="K11" s="81" t="s">
        <v>5</v>
      </c>
      <c r="L11" s="82"/>
      <c r="M11" s="2" t="s">
        <v>8</v>
      </c>
    </row>
    <row r="12" spans="1:13" x14ac:dyDescent="0.3">
      <c r="A12" s="53" t="s">
        <v>88</v>
      </c>
      <c r="B12" s="53"/>
      <c r="C12" s="54">
        <v>9673.85</v>
      </c>
      <c r="D12" s="55"/>
      <c r="E12" s="54">
        <v>8377.6</v>
      </c>
      <c r="F12" s="55"/>
      <c r="G12" s="54">
        <v>9640.1200000000008</v>
      </c>
      <c r="H12" s="55"/>
      <c r="I12" s="56">
        <f>'СОДЕРЖАНИЕ ЖИЛЬЯ'!I16</f>
        <v>11126.592710000001</v>
      </c>
      <c r="J12" s="62"/>
      <c r="K12" s="52">
        <f>G12-I12</f>
        <v>-1486.47271</v>
      </c>
      <c r="L12" s="53"/>
      <c r="M12" s="46">
        <f>C12+E12-G12</f>
        <v>8411.33</v>
      </c>
    </row>
    <row r="13" spans="1:13" x14ac:dyDescent="0.3">
      <c r="A13" s="60" t="s">
        <v>89</v>
      </c>
      <c r="B13" s="62"/>
      <c r="C13" s="54">
        <f>M12</f>
        <v>8411.33</v>
      </c>
      <c r="D13" s="55"/>
      <c r="E13" s="54">
        <v>8377.6</v>
      </c>
      <c r="F13" s="55"/>
      <c r="G13" s="54">
        <v>5595.55</v>
      </c>
      <c r="H13" s="55"/>
      <c r="I13" s="56">
        <f>'СОДЕРЖАНИЕ ЖИЛЬЯ'!I22</f>
        <v>9278.4720700000016</v>
      </c>
      <c r="J13" s="57"/>
      <c r="K13" s="52">
        <f>G13-I13</f>
        <v>-3682.9220700000014</v>
      </c>
      <c r="L13" s="53"/>
      <c r="M13" s="46">
        <f>C13+E13-G13</f>
        <v>11193.380000000001</v>
      </c>
    </row>
    <row r="14" spans="1:13" x14ac:dyDescent="0.3">
      <c r="A14" s="60" t="s">
        <v>90</v>
      </c>
      <c r="B14" s="62"/>
      <c r="C14" s="54">
        <f t="shared" ref="C14:C23" si="0">M13</f>
        <v>11193.380000000001</v>
      </c>
      <c r="D14" s="55"/>
      <c r="E14" s="54">
        <v>8377.6</v>
      </c>
      <c r="F14" s="55"/>
      <c r="G14" s="54">
        <v>9125.6</v>
      </c>
      <c r="H14" s="55"/>
      <c r="I14" s="56">
        <f>'СОДЕРЖАНИЕ ЖИЛЬЯ'!I28</f>
        <v>3878.7155900000007</v>
      </c>
      <c r="J14" s="57"/>
      <c r="K14" s="52">
        <f>G14-I14</f>
        <v>5246.8844099999997</v>
      </c>
      <c r="L14" s="53"/>
      <c r="M14" s="46">
        <f>C14+E14-G14</f>
        <v>10445.380000000003</v>
      </c>
    </row>
    <row r="15" spans="1:13" x14ac:dyDescent="0.3">
      <c r="A15" s="60" t="s">
        <v>91</v>
      </c>
      <c r="B15" s="62"/>
      <c r="C15" s="54">
        <f t="shared" si="0"/>
        <v>10445.380000000003</v>
      </c>
      <c r="D15" s="55"/>
      <c r="E15" s="54">
        <v>8377.6</v>
      </c>
      <c r="F15" s="55"/>
      <c r="G15" s="54">
        <v>7021.54</v>
      </c>
      <c r="H15" s="55"/>
      <c r="I15" s="56">
        <f>'СОДЕРЖАНИЕ ЖИЛЬЯ'!I33</f>
        <v>3583.7803100000006</v>
      </c>
      <c r="J15" s="57"/>
      <c r="K15" s="52">
        <f t="shared" ref="K15:K19" si="1">G15-I15</f>
        <v>3437.7596899999994</v>
      </c>
      <c r="L15" s="53"/>
      <c r="M15" s="46">
        <f t="shared" ref="M15:M23" si="2">C15+E15-G15</f>
        <v>11801.440000000002</v>
      </c>
    </row>
    <row r="16" spans="1:13" x14ac:dyDescent="0.3">
      <c r="A16" s="60" t="s">
        <v>92</v>
      </c>
      <c r="B16" s="62"/>
      <c r="C16" s="54">
        <f t="shared" si="0"/>
        <v>11801.440000000002</v>
      </c>
      <c r="D16" s="55"/>
      <c r="E16" s="54">
        <v>8377.6</v>
      </c>
      <c r="F16" s="55"/>
      <c r="G16" s="54">
        <v>9106.36</v>
      </c>
      <c r="H16" s="55"/>
      <c r="I16" s="56">
        <f>'СОДЕРЖАНИЕ ЖИЛЬЯ'!I38</f>
        <v>3686.6367100000007</v>
      </c>
      <c r="J16" s="57"/>
      <c r="K16" s="52">
        <f t="shared" si="1"/>
        <v>5419.7232899999999</v>
      </c>
      <c r="L16" s="53"/>
      <c r="M16" s="46">
        <f t="shared" si="2"/>
        <v>11072.68</v>
      </c>
    </row>
    <row r="17" spans="1:13" x14ac:dyDescent="0.3">
      <c r="A17" s="60" t="s">
        <v>93</v>
      </c>
      <c r="B17" s="62"/>
      <c r="C17" s="54">
        <f t="shared" si="0"/>
        <v>11072.68</v>
      </c>
      <c r="D17" s="55"/>
      <c r="E17" s="54">
        <v>8377.6</v>
      </c>
      <c r="F17" s="55"/>
      <c r="G17" s="54">
        <v>8667.4500000000007</v>
      </c>
      <c r="H17" s="55"/>
      <c r="I17" s="56">
        <f>'СОДЕРЖАНИЕ ЖИЛЬЯ'!I44</f>
        <v>22561.192709999999</v>
      </c>
      <c r="J17" s="57"/>
      <c r="K17" s="52">
        <f t="shared" si="1"/>
        <v>-13893.742709999999</v>
      </c>
      <c r="L17" s="53"/>
      <c r="M17" s="46">
        <f t="shared" si="2"/>
        <v>10782.829999999998</v>
      </c>
    </row>
    <row r="18" spans="1:13" x14ac:dyDescent="0.3">
      <c r="A18" s="60" t="s">
        <v>94</v>
      </c>
      <c r="B18" s="62"/>
      <c r="C18" s="54">
        <f t="shared" si="0"/>
        <v>10782.829999999998</v>
      </c>
      <c r="D18" s="55"/>
      <c r="E18" s="54">
        <v>8377.6</v>
      </c>
      <c r="F18" s="55"/>
      <c r="G18" s="54">
        <v>7597.3</v>
      </c>
      <c r="H18" s="55"/>
      <c r="I18" s="56">
        <f>'СОДЕРЖАНИЕ ЖИЛЬЯ'!I50</f>
        <v>3713.2480700000006</v>
      </c>
      <c r="J18" s="57"/>
      <c r="K18" s="52">
        <f t="shared" si="1"/>
        <v>3884.0519299999996</v>
      </c>
      <c r="L18" s="53"/>
      <c r="M18" s="46">
        <f t="shared" si="2"/>
        <v>11563.130000000001</v>
      </c>
    </row>
    <row r="19" spans="1:13" x14ac:dyDescent="0.3">
      <c r="A19" s="60" t="s">
        <v>57</v>
      </c>
      <c r="B19" s="62"/>
      <c r="C19" s="54">
        <f t="shared" si="0"/>
        <v>11563.130000000001</v>
      </c>
      <c r="D19" s="55"/>
      <c r="E19" s="54">
        <v>8377.6</v>
      </c>
      <c r="F19" s="55"/>
      <c r="G19" s="54">
        <v>5932.15</v>
      </c>
      <c r="H19" s="55"/>
      <c r="I19" s="56">
        <f>'СОДЕРЖАНИЕ ЖИЛЬЯ'!I56</f>
        <v>5641.2480700000006</v>
      </c>
      <c r="J19" s="57"/>
      <c r="K19" s="52">
        <f t="shared" si="1"/>
        <v>290.90192999999908</v>
      </c>
      <c r="L19" s="53"/>
      <c r="M19" s="46">
        <f t="shared" si="2"/>
        <v>14008.580000000004</v>
      </c>
    </row>
    <row r="20" spans="1:13" x14ac:dyDescent="0.3">
      <c r="A20" s="53" t="s">
        <v>58</v>
      </c>
      <c r="B20" s="53"/>
      <c r="C20" s="54">
        <f t="shared" si="0"/>
        <v>14008.580000000004</v>
      </c>
      <c r="D20" s="55"/>
      <c r="E20" s="54">
        <v>8377.6</v>
      </c>
      <c r="F20" s="55"/>
      <c r="G20" s="54">
        <v>7597.3</v>
      </c>
      <c r="H20" s="55"/>
      <c r="I20" s="56">
        <f>'СОДЕРЖАНИЕ ЖИЛЬЯ'!I61</f>
        <v>3525.7543100000003</v>
      </c>
      <c r="J20" s="62"/>
      <c r="K20" s="52">
        <f t="shared" ref="K20:K23" si="3">G20-I20</f>
        <v>4071.5456899999999</v>
      </c>
      <c r="L20" s="53"/>
      <c r="M20" s="46">
        <f t="shared" si="2"/>
        <v>14788.880000000005</v>
      </c>
    </row>
    <row r="21" spans="1:13" x14ac:dyDescent="0.3">
      <c r="A21" s="53" t="s">
        <v>59</v>
      </c>
      <c r="B21" s="53"/>
      <c r="C21" s="54">
        <f t="shared" si="0"/>
        <v>14788.880000000005</v>
      </c>
      <c r="D21" s="55"/>
      <c r="E21" s="54">
        <v>8377.6</v>
      </c>
      <c r="F21" s="55"/>
      <c r="G21" s="54">
        <v>9931.1299999999992</v>
      </c>
      <c r="H21" s="55"/>
      <c r="I21" s="56">
        <f>'СОДЕРЖАНИЕ ЖИЛЬЯ'!I67</f>
        <v>5757.0442300000004</v>
      </c>
      <c r="J21" s="62"/>
      <c r="K21" s="52">
        <f t="shared" si="3"/>
        <v>4174.0857699999988</v>
      </c>
      <c r="L21" s="53"/>
      <c r="M21" s="46">
        <f t="shared" si="2"/>
        <v>13235.350000000004</v>
      </c>
    </row>
    <row r="22" spans="1:13" x14ac:dyDescent="0.3">
      <c r="A22" s="53" t="s">
        <v>60</v>
      </c>
      <c r="B22" s="53"/>
      <c r="C22" s="54">
        <f t="shared" si="0"/>
        <v>13235.350000000004</v>
      </c>
      <c r="D22" s="55"/>
      <c r="E22" s="54">
        <v>8377.6</v>
      </c>
      <c r="F22" s="55"/>
      <c r="G22" s="54">
        <v>7597.3</v>
      </c>
      <c r="H22" s="55"/>
      <c r="I22" s="56">
        <f>'СОДЕРЖАНИЕ ЖИЛЬЯ'!I75</f>
        <v>10370.437700000002</v>
      </c>
      <c r="J22" s="62"/>
      <c r="K22" s="52">
        <f t="shared" si="3"/>
        <v>-2773.137700000002</v>
      </c>
      <c r="L22" s="53"/>
      <c r="M22" s="46">
        <f t="shared" si="2"/>
        <v>14015.650000000005</v>
      </c>
    </row>
    <row r="23" spans="1:13" x14ac:dyDescent="0.3">
      <c r="A23" s="53" t="s">
        <v>7</v>
      </c>
      <c r="B23" s="53"/>
      <c r="C23" s="54">
        <f t="shared" si="0"/>
        <v>14015.650000000005</v>
      </c>
      <c r="D23" s="55"/>
      <c r="E23" s="54">
        <v>8377.6</v>
      </c>
      <c r="F23" s="55"/>
      <c r="G23" s="54">
        <v>9106.9</v>
      </c>
      <c r="H23" s="55"/>
      <c r="I23" s="56">
        <f>'СОДЕРЖАНИЕ ЖИЛЬЯ'!I81</f>
        <v>9094.6415500000021</v>
      </c>
      <c r="J23" s="62"/>
      <c r="K23" s="52">
        <f t="shared" si="3"/>
        <v>12.258449999997538</v>
      </c>
      <c r="L23" s="53"/>
      <c r="M23" s="46">
        <f t="shared" si="2"/>
        <v>13286.350000000008</v>
      </c>
    </row>
    <row r="24" spans="1:13" x14ac:dyDescent="0.3">
      <c r="A24" s="88" t="s">
        <v>9</v>
      </c>
      <c r="B24" s="88"/>
      <c r="C24" s="89"/>
      <c r="D24" s="90"/>
      <c r="E24" s="65">
        <f>SUM(E12:E23)</f>
        <v>100531.20000000003</v>
      </c>
      <c r="F24" s="88"/>
      <c r="G24" s="65">
        <f>SUM(G12:G23)</f>
        <v>96918.700000000012</v>
      </c>
      <c r="H24" s="65"/>
      <c r="I24" s="65">
        <f>SUM(I12:I23)</f>
        <v>92217.76403000002</v>
      </c>
      <c r="J24" s="65"/>
      <c r="K24" s="63">
        <f>SUM(K12:K23)</f>
        <v>4700.9359699999914</v>
      </c>
      <c r="L24" s="64"/>
      <c r="M24" s="3">
        <f>M23</f>
        <v>13286.350000000008</v>
      </c>
    </row>
    <row r="25" spans="1:13" x14ac:dyDescent="0.3">
      <c r="A25" s="60" t="s">
        <v>56</v>
      </c>
      <c r="B25" s="61"/>
      <c r="C25" s="61"/>
      <c r="D25" s="61"/>
      <c r="E25" s="61"/>
      <c r="F25" s="61"/>
      <c r="G25" s="61"/>
      <c r="H25" s="61"/>
      <c r="I25" s="61"/>
      <c r="J25" s="61"/>
      <c r="K25" s="52">
        <f>L10+K24</f>
        <v>-4897.1540300000088</v>
      </c>
      <c r="L25" s="52"/>
      <c r="M25" s="39"/>
    </row>
    <row r="26" spans="1:13" x14ac:dyDescent="0.3">
      <c r="A26" s="75" t="s">
        <v>10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7"/>
    </row>
    <row r="27" spans="1:13" x14ac:dyDescent="0.3">
      <c r="A27" s="60" t="s">
        <v>54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54">
        <v>-274.75</v>
      </c>
      <c r="M27" s="55"/>
    </row>
    <row r="28" spans="1:13" ht="53.25" customHeight="1" x14ac:dyDescent="0.3">
      <c r="A28" s="78" t="s">
        <v>1</v>
      </c>
      <c r="B28" s="78"/>
      <c r="C28" s="79" t="s">
        <v>6</v>
      </c>
      <c r="D28" s="78"/>
      <c r="E28" s="79" t="s">
        <v>2</v>
      </c>
      <c r="F28" s="78"/>
      <c r="G28" s="79" t="s">
        <v>3</v>
      </c>
      <c r="H28" s="79"/>
      <c r="I28" s="80" t="s">
        <v>4</v>
      </c>
      <c r="J28" s="80"/>
      <c r="K28" s="81" t="s">
        <v>5</v>
      </c>
      <c r="L28" s="82"/>
      <c r="M28" s="2" t="s">
        <v>8</v>
      </c>
    </row>
    <row r="29" spans="1:13" x14ac:dyDescent="0.3">
      <c r="A29" s="53" t="s">
        <v>88</v>
      </c>
      <c r="B29" s="53"/>
      <c r="C29" s="54">
        <v>8535.75</v>
      </c>
      <c r="D29" s="55"/>
      <c r="E29" s="54">
        <v>7392</v>
      </c>
      <c r="F29" s="55"/>
      <c r="G29" s="54">
        <v>8505.99</v>
      </c>
      <c r="H29" s="55"/>
      <c r="I29" s="52">
        <v>0</v>
      </c>
      <c r="J29" s="52"/>
      <c r="K29" s="52">
        <f>G29-I29</f>
        <v>8505.99</v>
      </c>
      <c r="L29" s="53"/>
      <c r="M29" s="46">
        <f>C29+E29-G29</f>
        <v>7421.76</v>
      </c>
    </row>
    <row r="30" spans="1:13" x14ac:dyDescent="0.3">
      <c r="A30" s="60" t="s">
        <v>89</v>
      </c>
      <c r="B30" s="62"/>
      <c r="C30" s="54">
        <f>M29</f>
        <v>7421.76</v>
      </c>
      <c r="D30" s="55"/>
      <c r="E30" s="54">
        <v>7392</v>
      </c>
      <c r="F30" s="55"/>
      <c r="G30" s="54">
        <v>4937.25</v>
      </c>
      <c r="H30" s="55"/>
      <c r="I30" s="54">
        <f>'РЕМОНТ ЖИЛЬЯ'!I14</f>
        <v>31687</v>
      </c>
      <c r="J30" s="55"/>
      <c r="K30" s="52">
        <f>G30-I30</f>
        <v>-26749.75</v>
      </c>
      <c r="L30" s="53"/>
      <c r="M30" s="46">
        <f>C30+E30-G30</f>
        <v>9876.51</v>
      </c>
    </row>
    <row r="31" spans="1:13" x14ac:dyDescent="0.3">
      <c r="A31" s="60" t="s">
        <v>90</v>
      </c>
      <c r="B31" s="62"/>
      <c r="C31" s="54">
        <f t="shared" ref="C31:C40" si="4">M30</f>
        <v>9876.51</v>
      </c>
      <c r="D31" s="55"/>
      <c r="E31" s="54">
        <v>7392</v>
      </c>
      <c r="F31" s="55"/>
      <c r="G31" s="54">
        <v>8052</v>
      </c>
      <c r="H31" s="55"/>
      <c r="I31" s="54">
        <v>0</v>
      </c>
      <c r="J31" s="55"/>
      <c r="K31" s="52">
        <f t="shared" ref="K31:K36" si="5">G31-I31</f>
        <v>8052</v>
      </c>
      <c r="L31" s="53"/>
      <c r="M31" s="46">
        <f t="shared" ref="M31:M40" si="6">C31+E31-G31</f>
        <v>9216.510000000002</v>
      </c>
    </row>
    <row r="32" spans="1:13" x14ac:dyDescent="0.3">
      <c r="A32" s="60" t="s">
        <v>91</v>
      </c>
      <c r="B32" s="62"/>
      <c r="C32" s="54">
        <f t="shared" si="4"/>
        <v>9216.510000000002</v>
      </c>
      <c r="D32" s="55"/>
      <c r="E32" s="54">
        <v>7392</v>
      </c>
      <c r="F32" s="55"/>
      <c r="G32" s="54">
        <v>6197.75</v>
      </c>
      <c r="H32" s="55"/>
      <c r="I32" s="54">
        <v>0</v>
      </c>
      <c r="J32" s="55"/>
      <c r="K32" s="52">
        <f t="shared" si="5"/>
        <v>6197.75</v>
      </c>
      <c r="L32" s="53"/>
      <c r="M32" s="46">
        <f t="shared" si="6"/>
        <v>10410.760000000002</v>
      </c>
    </row>
    <row r="33" spans="1:16" x14ac:dyDescent="0.3">
      <c r="A33" s="60" t="s">
        <v>92</v>
      </c>
      <c r="B33" s="62"/>
      <c r="C33" s="54">
        <f t="shared" si="4"/>
        <v>10410.760000000002</v>
      </c>
      <c r="D33" s="55"/>
      <c r="E33" s="54">
        <v>7392</v>
      </c>
      <c r="F33" s="55"/>
      <c r="G33" s="54">
        <v>8032.75</v>
      </c>
      <c r="H33" s="55"/>
      <c r="I33" s="54">
        <v>0</v>
      </c>
      <c r="J33" s="55"/>
      <c r="K33" s="52">
        <f t="shared" si="5"/>
        <v>8032.75</v>
      </c>
      <c r="L33" s="53"/>
      <c r="M33" s="46">
        <f t="shared" si="6"/>
        <v>9770.010000000002</v>
      </c>
    </row>
    <row r="34" spans="1:16" x14ac:dyDescent="0.3">
      <c r="A34" s="60" t="s">
        <v>93</v>
      </c>
      <c r="B34" s="62"/>
      <c r="C34" s="54">
        <f t="shared" si="4"/>
        <v>9770.010000000002</v>
      </c>
      <c r="D34" s="55"/>
      <c r="E34" s="54">
        <v>7392</v>
      </c>
      <c r="F34" s="55"/>
      <c r="G34" s="54">
        <v>7647.75</v>
      </c>
      <c r="H34" s="55"/>
      <c r="I34" s="54">
        <v>0</v>
      </c>
      <c r="J34" s="55"/>
      <c r="K34" s="52">
        <f t="shared" si="5"/>
        <v>7647.75</v>
      </c>
      <c r="L34" s="53"/>
      <c r="M34" s="46">
        <f t="shared" si="6"/>
        <v>9514.260000000002</v>
      </c>
    </row>
    <row r="35" spans="1:16" x14ac:dyDescent="0.3">
      <c r="A35" s="60" t="s">
        <v>94</v>
      </c>
      <c r="B35" s="62"/>
      <c r="C35" s="54">
        <f t="shared" si="4"/>
        <v>9514.260000000002</v>
      </c>
      <c r="D35" s="55"/>
      <c r="E35" s="54">
        <v>7392</v>
      </c>
      <c r="F35" s="55"/>
      <c r="G35" s="54">
        <v>6703.5</v>
      </c>
      <c r="H35" s="55"/>
      <c r="I35" s="54">
        <v>0</v>
      </c>
      <c r="J35" s="55"/>
      <c r="K35" s="52">
        <f t="shared" si="5"/>
        <v>6703.5</v>
      </c>
      <c r="L35" s="53"/>
      <c r="M35" s="46">
        <f t="shared" si="6"/>
        <v>10202.760000000002</v>
      </c>
    </row>
    <row r="36" spans="1:16" x14ac:dyDescent="0.3">
      <c r="A36" s="60" t="s">
        <v>57</v>
      </c>
      <c r="B36" s="62"/>
      <c r="C36" s="54">
        <f t="shared" si="4"/>
        <v>10202.760000000002</v>
      </c>
      <c r="D36" s="55"/>
      <c r="E36" s="54">
        <v>7392</v>
      </c>
      <c r="F36" s="55"/>
      <c r="G36" s="54">
        <v>5234.25</v>
      </c>
      <c r="H36" s="55"/>
      <c r="I36" s="54">
        <v>0</v>
      </c>
      <c r="J36" s="55"/>
      <c r="K36" s="52">
        <f t="shared" si="5"/>
        <v>5234.25</v>
      </c>
      <c r="L36" s="53"/>
      <c r="M36" s="46">
        <f t="shared" si="6"/>
        <v>12360.510000000002</v>
      </c>
    </row>
    <row r="37" spans="1:16" x14ac:dyDescent="0.3">
      <c r="A37" s="53" t="s">
        <v>58</v>
      </c>
      <c r="B37" s="53"/>
      <c r="C37" s="54">
        <f t="shared" si="4"/>
        <v>12360.510000000002</v>
      </c>
      <c r="D37" s="55"/>
      <c r="E37" s="54">
        <v>7392</v>
      </c>
      <c r="F37" s="55"/>
      <c r="G37" s="54">
        <v>6703.5</v>
      </c>
      <c r="H37" s="55"/>
      <c r="I37" s="52">
        <v>0</v>
      </c>
      <c r="J37" s="52"/>
      <c r="K37" s="52">
        <f>G37-I37</f>
        <v>6703.5</v>
      </c>
      <c r="L37" s="53"/>
      <c r="M37" s="46">
        <f t="shared" si="6"/>
        <v>13049.010000000002</v>
      </c>
    </row>
    <row r="38" spans="1:16" x14ac:dyDescent="0.3">
      <c r="A38" s="53" t="s">
        <v>59</v>
      </c>
      <c r="B38" s="53"/>
      <c r="C38" s="54">
        <f t="shared" si="4"/>
        <v>13049.010000000002</v>
      </c>
      <c r="D38" s="55"/>
      <c r="E38" s="54">
        <v>7392</v>
      </c>
      <c r="F38" s="55"/>
      <c r="G38" s="54">
        <v>8762.76</v>
      </c>
      <c r="H38" s="55"/>
      <c r="I38" s="52">
        <v>0</v>
      </c>
      <c r="J38" s="52"/>
      <c r="K38" s="52">
        <f t="shared" ref="K38:K40" si="7">G38-I38</f>
        <v>8762.76</v>
      </c>
      <c r="L38" s="53"/>
      <c r="M38" s="46">
        <f t="shared" si="6"/>
        <v>11678.250000000002</v>
      </c>
    </row>
    <row r="39" spans="1:16" x14ac:dyDescent="0.3">
      <c r="A39" s="53" t="s">
        <v>60</v>
      </c>
      <c r="B39" s="53"/>
      <c r="C39" s="54">
        <f t="shared" si="4"/>
        <v>11678.250000000002</v>
      </c>
      <c r="D39" s="55"/>
      <c r="E39" s="54">
        <v>7392</v>
      </c>
      <c r="F39" s="55"/>
      <c r="G39" s="54">
        <v>6703.5</v>
      </c>
      <c r="H39" s="55"/>
      <c r="I39" s="52">
        <v>0</v>
      </c>
      <c r="J39" s="52"/>
      <c r="K39" s="52">
        <f t="shared" si="7"/>
        <v>6703.5</v>
      </c>
      <c r="L39" s="53"/>
      <c r="M39" s="46">
        <f t="shared" si="6"/>
        <v>12366.75</v>
      </c>
    </row>
    <row r="40" spans="1:16" x14ac:dyDescent="0.3">
      <c r="A40" s="53" t="s">
        <v>7</v>
      </c>
      <c r="B40" s="53"/>
      <c r="C40" s="54">
        <f t="shared" si="4"/>
        <v>12366.75</v>
      </c>
      <c r="D40" s="55"/>
      <c r="E40" s="54">
        <v>7392</v>
      </c>
      <c r="F40" s="55"/>
      <c r="G40" s="54">
        <v>8035.5</v>
      </c>
      <c r="H40" s="55"/>
      <c r="I40" s="52">
        <f>'РЕМОНТ ЖИЛЬЯ'!I18</f>
        <v>12029</v>
      </c>
      <c r="J40" s="52"/>
      <c r="K40" s="52">
        <f t="shared" si="7"/>
        <v>-3993.5</v>
      </c>
      <c r="L40" s="53"/>
      <c r="M40" s="46">
        <f t="shared" si="6"/>
        <v>11723.25</v>
      </c>
    </row>
    <row r="41" spans="1:16" x14ac:dyDescent="0.3">
      <c r="A41" s="88" t="s">
        <v>9</v>
      </c>
      <c r="B41" s="88"/>
      <c r="C41" s="89"/>
      <c r="D41" s="90"/>
      <c r="E41" s="65">
        <f>SUM(E29:E40)</f>
        <v>88704</v>
      </c>
      <c r="F41" s="88"/>
      <c r="G41" s="65">
        <f>SUM(G29:G40)</f>
        <v>85516.5</v>
      </c>
      <c r="H41" s="65"/>
      <c r="I41" s="65">
        <f>SUM(I29:I40)</f>
        <v>43716</v>
      </c>
      <c r="J41" s="65"/>
      <c r="K41" s="65">
        <f>SUM(K29:K40)</f>
        <v>41800.5</v>
      </c>
      <c r="L41" s="65"/>
      <c r="M41" s="3">
        <f>M40</f>
        <v>11723.25</v>
      </c>
      <c r="O41" s="42"/>
      <c r="P41" s="42"/>
    </row>
    <row r="42" spans="1:16" x14ac:dyDescent="0.3">
      <c r="A42" s="60" t="s">
        <v>56</v>
      </c>
      <c r="B42" s="61"/>
      <c r="C42" s="61"/>
      <c r="D42" s="61"/>
      <c r="E42" s="61"/>
      <c r="F42" s="61"/>
      <c r="G42" s="61"/>
      <c r="H42" s="61"/>
      <c r="I42" s="61"/>
      <c r="J42" s="61"/>
      <c r="K42" s="58">
        <f>L27+K41</f>
        <v>41525.75</v>
      </c>
      <c r="L42" s="59"/>
      <c r="M42" s="3"/>
    </row>
    <row r="43" spans="1:16" x14ac:dyDescent="0.3">
      <c r="A43" s="93" t="s">
        <v>11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P43" s="42"/>
    </row>
    <row r="44" spans="1:16" ht="52.5" customHeight="1" x14ac:dyDescent="0.3">
      <c r="A44" s="95" t="s">
        <v>12</v>
      </c>
      <c r="B44" s="96"/>
      <c r="C44" s="96"/>
      <c r="D44" s="97"/>
      <c r="E44" s="68" t="s">
        <v>6</v>
      </c>
      <c r="F44" s="69"/>
      <c r="G44" s="69"/>
      <c r="H44" s="70"/>
      <c r="I44" s="79" t="s">
        <v>2</v>
      </c>
      <c r="J44" s="78"/>
      <c r="K44" s="79" t="s">
        <v>3</v>
      </c>
      <c r="L44" s="79"/>
      <c r="M44" s="2" t="s">
        <v>8</v>
      </c>
    </row>
    <row r="45" spans="1:16" ht="17.25" customHeight="1" x14ac:dyDescent="0.3">
      <c r="A45" s="83" t="s">
        <v>13</v>
      </c>
      <c r="B45" s="84"/>
      <c r="C45" s="84"/>
      <c r="D45" s="85"/>
      <c r="E45" s="71">
        <v>112.98</v>
      </c>
      <c r="F45" s="72"/>
      <c r="G45" s="72"/>
      <c r="H45" s="73"/>
      <c r="I45" s="101">
        <f>99.36+99.36+99.36+99.36+99.36+99.36+99.36+99.36+99.36+99.36+425.13+140.76</f>
        <v>1559.49</v>
      </c>
      <c r="J45" s="102"/>
      <c r="K45" s="86">
        <f>113.72+66.36+108.24+102.29+88.99+102.79+90.1+70.35+90.1+117.35+90.1+426.73</f>
        <v>1467.1200000000001</v>
      </c>
      <c r="L45" s="87"/>
      <c r="M45" s="4">
        <f>E45+I45-K45</f>
        <v>205.34999999999991</v>
      </c>
    </row>
    <row r="46" spans="1:16" x14ac:dyDescent="0.3">
      <c r="A46" s="60" t="s">
        <v>14</v>
      </c>
      <c r="B46" s="61"/>
      <c r="C46" s="61"/>
      <c r="D46" s="62"/>
      <c r="E46" s="54">
        <v>50.29</v>
      </c>
      <c r="F46" s="74"/>
      <c r="G46" s="74"/>
      <c r="H46" s="55"/>
      <c r="I46" s="60">
        <f>44.22+44.22+44.22+44.22+44.22+44.22+44.22+44.22+44.22+44.22+44.22+44.22</f>
        <v>530.6400000000001</v>
      </c>
      <c r="J46" s="62"/>
      <c r="K46" s="54">
        <f>50.62+29.53+48.16+56.21+28.91+45.74+40.1+31.32+40.1+52.2+40.1+48.06</f>
        <v>511.05000000000007</v>
      </c>
      <c r="L46" s="62"/>
      <c r="M46" s="4">
        <f>E46+I46-K46</f>
        <v>69.88</v>
      </c>
    </row>
    <row r="47" spans="1:16" x14ac:dyDescent="0.3">
      <c r="A47" s="60" t="s">
        <v>15</v>
      </c>
      <c r="B47" s="61"/>
      <c r="C47" s="61"/>
      <c r="D47" s="62"/>
      <c r="E47" s="54">
        <v>303.02999999999997</v>
      </c>
      <c r="F47" s="74"/>
      <c r="G47" s="74"/>
      <c r="H47" s="55"/>
      <c r="I47" s="60">
        <f>266.39+266.39+266.39+266.39+266.39+266.39+266.39+266.39+266.39+266.39+266.39+266.39</f>
        <v>3196.6799999999989</v>
      </c>
      <c r="J47" s="62"/>
      <c r="K47" s="54">
        <f>304.92+177.92+290.18+241.91+270.93+275.62+241.58+188.62+241.58+314.6+241.58+289.59</f>
        <v>3079.0299999999997</v>
      </c>
      <c r="L47" s="62"/>
      <c r="M47" s="4">
        <f>E47+I47-K47</f>
        <v>420.67999999999938</v>
      </c>
    </row>
    <row r="48" spans="1:16" x14ac:dyDescent="0.3">
      <c r="A48" s="94"/>
      <c r="B48" s="109"/>
      <c r="C48" s="109"/>
      <c r="D48" s="66"/>
      <c r="E48" s="63"/>
      <c r="F48" s="103"/>
      <c r="G48" s="103"/>
      <c r="H48" s="64"/>
      <c r="I48" s="63">
        <f>SUM(I45:I47)</f>
        <v>5286.8099999999995</v>
      </c>
      <c r="J48" s="66"/>
      <c r="K48" s="94">
        <f>SUM(K45:K47)</f>
        <v>5057.2</v>
      </c>
      <c r="L48" s="66"/>
      <c r="M48" s="3">
        <f>SUM(M45:M47)</f>
        <v>695.90999999999929</v>
      </c>
    </row>
    <row r="49" spans="1:13" x14ac:dyDescent="0.3">
      <c r="A49" s="43"/>
      <c r="B49" s="44"/>
      <c r="C49" s="44"/>
      <c r="D49" s="45"/>
      <c r="E49" s="47"/>
      <c r="F49" s="48"/>
      <c r="G49" s="48"/>
      <c r="H49" s="39"/>
      <c r="I49" s="47"/>
      <c r="J49" s="45"/>
      <c r="K49" s="43"/>
      <c r="L49" s="45"/>
      <c r="M49" s="39"/>
    </row>
    <row r="50" spans="1:13" x14ac:dyDescent="0.3">
      <c r="A50" s="98" t="s">
        <v>65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100"/>
      <c r="M50" s="37">
        <v>4467.8999999999996</v>
      </c>
    </row>
    <row r="51" spans="1:13" x14ac:dyDescent="0.3">
      <c r="A51" s="67" t="s">
        <v>16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49">
        <v>3907.75</v>
      </c>
    </row>
    <row r="52" spans="1:13" x14ac:dyDescent="0.3">
      <c r="A52" s="98" t="s">
        <v>74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100"/>
      <c r="M52" s="49">
        <f>909.59+3623.41</f>
        <v>4533</v>
      </c>
    </row>
    <row r="53" spans="1:13" x14ac:dyDescent="0.3">
      <c r="A53" s="98" t="s">
        <v>75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100"/>
      <c r="M53" s="49">
        <f>376.38+1499.34</f>
        <v>1875.7199999999998</v>
      </c>
    </row>
    <row r="54" spans="1:13" x14ac:dyDescent="0.3">
      <c r="A54" s="98" t="s">
        <v>55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100"/>
      <c r="M54" s="37">
        <v>1969.42</v>
      </c>
    </row>
    <row r="55" spans="1:13" x14ac:dyDescent="0.3">
      <c r="A55" s="104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6"/>
    </row>
    <row r="56" spans="1:13" ht="15.6" x14ac:dyDescent="0.3">
      <c r="A56" s="67" t="s">
        <v>95</v>
      </c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">
        <f>M24+M41+M48+M50+M51+M52+M53+M54</f>
        <v>42459.3</v>
      </c>
    </row>
    <row r="57" spans="1:13" x14ac:dyDescent="0.3">
      <c r="A57" s="67" t="s">
        <v>17</v>
      </c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36">
        <f>K25+K42</f>
        <v>36628.595969999995</v>
      </c>
    </row>
    <row r="58" spans="1:13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3">
      <c r="A60" s="91"/>
      <c r="B60" s="91"/>
      <c r="C60" s="91"/>
      <c r="D60" s="9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3">
      <c r="A61" s="91"/>
      <c r="B61" s="91"/>
      <c r="C61" s="91"/>
      <c r="D61" s="91"/>
      <c r="K61" s="92"/>
      <c r="L61" s="92"/>
      <c r="M61" s="92"/>
    </row>
  </sheetData>
  <mergeCells count="230">
    <mergeCell ref="A5:G5"/>
    <mergeCell ref="H5:M5"/>
    <mergeCell ref="A52:L52"/>
    <mergeCell ref="A53:L53"/>
    <mergeCell ref="A50:L50"/>
    <mergeCell ref="A46:D46"/>
    <mergeCell ref="A47:D47"/>
    <mergeCell ref="A48:D48"/>
    <mergeCell ref="E11:F11"/>
    <mergeCell ref="G11:H11"/>
    <mergeCell ref="L6:M6"/>
    <mergeCell ref="L7:M7"/>
    <mergeCell ref="A8:M8"/>
    <mergeCell ref="A9:M9"/>
    <mergeCell ref="K11:L11"/>
    <mergeCell ref="I11:J11"/>
    <mergeCell ref="L10:M10"/>
    <mergeCell ref="A10:K10"/>
    <mergeCell ref="A7:D7"/>
    <mergeCell ref="E7:F7"/>
    <mergeCell ref="G7:K7"/>
    <mergeCell ref="A6:D6"/>
    <mergeCell ref="E6:F6"/>
    <mergeCell ref="G6:K6"/>
    <mergeCell ref="A1:M1"/>
    <mergeCell ref="A2:D2"/>
    <mergeCell ref="E2:I2"/>
    <mergeCell ref="J2:M2"/>
    <mergeCell ref="A3:B3"/>
    <mergeCell ref="C3:H3"/>
    <mergeCell ref="I3:M3"/>
    <mergeCell ref="A4:G4"/>
    <mergeCell ref="H4:M4"/>
    <mergeCell ref="A11:B11"/>
    <mergeCell ref="C11:D11"/>
    <mergeCell ref="A60:D60"/>
    <mergeCell ref="A61:D61"/>
    <mergeCell ref="K61:M61"/>
    <mergeCell ref="K41:L41"/>
    <mergeCell ref="A43:M43"/>
    <mergeCell ref="A41:B41"/>
    <mergeCell ref="C41:D41"/>
    <mergeCell ref="E41:F41"/>
    <mergeCell ref="G41:H41"/>
    <mergeCell ref="I41:J41"/>
    <mergeCell ref="K44:L44"/>
    <mergeCell ref="K46:L46"/>
    <mergeCell ref="K47:L47"/>
    <mergeCell ref="K48:L48"/>
    <mergeCell ref="A44:D44"/>
    <mergeCell ref="A54:L54"/>
    <mergeCell ref="I45:J45"/>
    <mergeCell ref="E48:H48"/>
    <mergeCell ref="I44:J44"/>
    <mergeCell ref="A55:M55"/>
    <mergeCell ref="A51:L51"/>
    <mergeCell ref="I46:J46"/>
    <mergeCell ref="I47:J47"/>
    <mergeCell ref="I48:J48"/>
    <mergeCell ref="A56:L56"/>
    <mergeCell ref="A57:L57"/>
    <mergeCell ref="A22:B22"/>
    <mergeCell ref="A23:B23"/>
    <mergeCell ref="E44:H44"/>
    <mergeCell ref="E45:H45"/>
    <mergeCell ref="E46:H46"/>
    <mergeCell ref="E47:H47"/>
    <mergeCell ref="A26:M26"/>
    <mergeCell ref="A27:K27"/>
    <mergeCell ref="L27:M27"/>
    <mergeCell ref="A28:B28"/>
    <mergeCell ref="C28:D28"/>
    <mergeCell ref="E28:F28"/>
    <mergeCell ref="G28:H28"/>
    <mergeCell ref="I28:J28"/>
    <mergeCell ref="K28:L28"/>
    <mergeCell ref="A45:D45"/>
    <mergeCell ref="K45:L45"/>
    <mergeCell ref="A24:B24"/>
    <mergeCell ref="C24:D24"/>
    <mergeCell ref="E24:F24"/>
    <mergeCell ref="A12:B12"/>
    <mergeCell ref="A20:B20"/>
    <mergeCell ref="A21:B21"/>
    <mergeCell ref="E22:F22"/>
    <mergeCell ref="E23:F23"/>
    <mergeCell ref="C21:D21"/>
    <mergeCell ref="C22:D22"/>
    <mergeCell ref="C23:D23"/>
    <mergeCell ref="C12:D12"/>
    <mergeCell ref="C20:D20"/>
    <mergeCell ref="A13:B13"/>
    <mergeCell ref="A14:B14"/>
    <mergeCell ref="A15:B15"/>
    <mergeCell ref="A16:B16"/>
    <mergeCell ref="A17:B17"/>
    <mergeCell ref="A18:B18"/>
    <mergeCell ref="A19:B19"/>
    <mergeCell ref="C13:D13"/>
    <mergeCell ref="C14:D14"/>
    <mergeCell ref="C15:D15"/>
    <mergeCell ref="C16:D16"/>
    <mergeCell ref="C17:D17"/>
    <mergeCell ref="C18:D18"/>
    <mergeCell ref="C19:D19"/>
    <mergeCell ref="I12:J12"/>
    <mergeCell ref="I20:J20"/>
    <mergeCell ref="I21:J21"/>
    <mergeCell ref="E12:F12"/>
    <mergeCell ref="E20:F20"/>
    <mergeCell ref="E21:F21"/>
    <mergeCell ref="G24:H24"/>
    <mergeCell ref="I24:J24"/>
    <mergeCell ref="K23:L23"/>
    <mergeCell ref="K12:L12"/>
    <mergeCell ref="K20:L20"/>
    <mergeCell ref="K21:L21"/>
    <mergeCell ref="K22:L22"/>
    <mergeCell ref="I22:J22"/>
    <mergeCell ref="I23:J23"/>
    <mergeCell ref="G12:H12"/>
    <mergeCell ref="G20:H20"/>
    <mergeCell ref="G21:H21"/>
    <mergeCell ref="G22:H22"/>
    <mergeCell ref="E13:F13"/>
    <mergeCell ref="E14:F14"/>
    <mergeCell ref="E15:F15"/>
    <mergeCell ref="E16:F16"/>
    <mergeCell ref="E17:F17"/>
    <mergeCell ref="E40:F40"/>
    <mergeCell ref="G23:H23"/>
    <mergeCell ref="A25:J25"/>
    <mergeCell ref="K25:L25"/>
    <mergeCell ref="K24:L24"/>
    <mergeCell ref="K37:L37"/>
    <mergeCell ref="K38:L38"/>
    <mergeCell ref="C38:D38"/>
    <mergeCell ref="C39:D39"/>
    <mergeCell ref="C40:D40"/>
    <mergeCell ref="C29:D29"/>
    <mergeCell ref="C37:D37"/>
    <mergeCell ref="G29:H29"/>
    <mergeCell ref="G37:H37"/>
    <mergeCell ref="G38:H38"/>
    <mergeCell ref="G39:H39"/>
    <mergeCell ref="G40:H40"/>
    <mergeCell ref="A35:B35"/>
    <mergeCell ref="A36:B36"/>
    <mergeCell ref="C30:D30"/>
    <mergeCell ref="C31:D31"/>
    <mergeCell ref="C32:D32"/>
    <mergeCell ref="C33:D33"/>
    <mergeCell ref="C34:D34"/>
    <mergeCell ref="K42:L42"/>
    <mergeCell ref="I39:J39"/>
    <mergeCell ref="I40:J40"/>
    <mergeCell ref="K39:L39"/>
    <mergeCell ref="K40:L40"/>
    <mergeCell ref="K29:L29"/>
    <mergeCell ref="I29:J29"/>
    <mergeCell ref="I37:J37"/>
    <mergeCell ref="I38:J38"/>
    <mergeCell ref="A42:J42"/>
    <mergeCell ref="E39:F39"/>
    <mergeCell ref="E29:F29"/>
    <mergeCell ref="E37:F37"/>
    <mergeCell ref="E38:F38"/>
    <mergeCell ref="A39:B39"/>
    <mergeCell ref="A40:B40"/>
    <mergeCell ref="A29:B29"/>
    <mergeCell ref="A37:B37"/>
    <mergeCell ref="A38:B38"/>
    <mergeCell ref="A30:B30"/>
    <mergeCell ref="A31:B31"/>
    <mergeCell ref="A32:B32"/>
    <mergeCell ref="A33:B33"/>
    <mergeCell ref="A34:B34"/>
    <mergeCell ref="E18:F18"/>
    <mergeCell ref="E19:F19"/>
    <mergeCell ref="G13:H13"/>
    <mergeCell ref="G14:H14"/>
    <mergeCell ref="G15:H15"/>
    <mergeCell ref="G16:H16"/>
    <mergeCell ref="G17:H17"/>
    <mergeCell ref="G18:H18"/>
    <mergeCell ref="G19:H19"/>
    <mergeCell ref="I13:J13"/>
    <mergeCell ref="I14:J14"/>
    <mergeCell ref="I15:J15"/>
    <mergeCell ref="I16:J16"/>
    <mergeCell ref="I17:J17"/>
    <mergeCell ref="I18:J18"/>
    <mergeCell ref="I19:J19"/>
    <mergeCell ref="K13:L13"/>
    <mergeCell ref="K14:L14"/>
    <mergeCell ref="K15:L15"/>
    <mergeCell ref="K16:L16"/>
    <mergeCell ref="K17:L17"/>
    <mergeCell ref="K18:L18"/>
    <mergeCell ref="K19:L19"/>
    <mergeCell ref="C35:D35"/>
    <mergeCell ref="C36:D36"/>
    <mergeCell ref="E30:F30"/>
    <mergeCell ref="E31:F31"/>
    <mergeCell ref="E32:F32"/>
    <mergeCell ref="E33:F33"/>
    <mergeCell ref="E34:F34"/>
    <mergeCell ref="E35:F35"/>
    <mergeCell ref="E36:F36"/>
    <mergeCell ref="K30:L30"/>
    <mergeCell ref="K31:L31"/>
    <mergeCell ref="K32:L32"/>
    <mergeCell ref="K33:L33"/>
    <mergeCell ref="K34:L34"/>
    <mergeCell ref="K35:L35"/>
    <mergeCell ref="K36:L36"/>
    <mergeCell ref="G30:H30"/>
    <mergeCell ref="G31:H31"/>
    <mergeCell ref="G32:H32"/>
    <mergeCell ref="G33:H33"/>
    <mergeCell ref="G34:H34"/>
    <mergeCell ref="G35:H35"/>
    <mergeCell ref="G36:H36"/>
    <mergeCell ref="I30:J30"/>
    <mergeCell ref="I31:J31"/>
    <mergeCell ref="I32:J32"/>
    <mergeCell ref="I33:J33"/>
    <mergeCell ref="I34:J34"/>
    <mergeCell ref="I35:J35"/>
    <mergeCell ref="I36:J36"/>
  </mergeCells>
  <pageMargins left="0.78740157480314965" right="7.874015748031496E-2" top="0.35433070866141736" bottom="0.35433070866141736" header="0" footer="0"/>
  <pageSetup scale="90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S87"/>
  <sheetViews>
    <sheetView zoomScaleNormal="100" workbookViewId="0">
      <selection activeCell="F15" sqref="F15"/>
    </sheetView>
  </sheetViews>
  <sheetFormatPr defaultColWidth="9.109375" defaultRowHeight="13.8" x14ac:dyDescent="0.3"/>
  <cols>
    <col min="1" max="1" width="4.44140625" style="11" customWidth="1"/>
    <col min="2" max="2" width="6.5546875" style="11" customWidth="1"/>
    <col min="3" max="3" width="10.6640625" style="11" customWidth="1"/>
    <col min="4" max="4" width="6.88671875" style="11" customWidth="1"/>
    <col min="5" max="5" width="9.44140625" style="11" customWidth="1"/>
    <col min="6" max="6" width="25" style="11" customWidth="1"/>
    <col min="7" max="7" width="8.88671875" style="11" customWidth="1"/>
    <col min="8" max="8" width="8.33203125" style="11" customWidth="1"/>
    <col min="9" max="9" width="10.88671875" style="11" customWidth="1"/>
    <col min="10" max="16384" width="9.109375" style="11"/>
  </cols>
  <sheetData>
    <row r="1" spans="2:19" x14ac:dyDescent="0.3">
      <c r="B1" s="7"/>
      <c r="C1" s="8"/>
      <c r="D1" s="9"/>
      <c r="E1" s="10"/>
      <c r="F1" s="10"/>
      <c r="G1" s="7"/>
      <c r="H1" s="7"/>
    </row>
    <row r="2" spans="2:19" ht="18" x14ac:dyDescent="0.35">
      <c r="B2" s="12" t="s">
        <v>18</v>
      </c>
      <c r="C2" s="12"/>
      <c r="D2" s="13"/>
      <c r="E2" s="13"/>
      <c r="F2" s="13"/>
      <c r="G2" s="13"/>
      <c r="H2" s="14"/>
      <c r="I2" s="14"/>
    </row>
    <row r="3" spans="2:19" ht="18" x14ac:dyDescent="0.35">
      <c r="B3" s="12" t="s">
        <v>25</v>
      </c>
      <c r="C3" s="12"/>
      <c r="D3" s="13"/>
      <c r="E3" s="13"/>
      <c r="F3" s="13"/>
      <c r="G3" s="13"/>
      <c r="H3" s="14"/>
      <c r="I3" s="14"/>
    </row>
    <row r="4" spans="2:19" ht="18" x14ac:dyDescent="0.35">
      <c r="B4" s="12" t="s">
        <v>77</v>
      </c>
      <c r="C4" s="12"/>
      <c r="D4" s="15"/>
      <c r="E4" s="15"/>
      <c r="F4" s="12"/>
      <c r="G4" s="13"/>
      <c r="H4" s="14"/>
      <c r="I4" s="14"/>
    </row>
    <row r="5" spans="2:19" ht="18" x14ac:dyDescent="0.35">
      <c r="B5" s="12" t="s">
        <v>96</v>
      </c>
      <c r="C5" s="12"/>
      <c r="D5" s="15"/>
      <c r="E5" s="15"/>
      <c r="F5" s="12"/>
      <c r="G5" s="13"/>
      <c r="H5" s="14"/>
      <c r="I5" s="14"/>
    </row>
    <row r="6" spans="2:19" ht="18" x14ac:dyDescent="0.35">
      <c r="B6" s="27" t="s">
        <v>79</v>
      </c>
      <c r="C6" s="27"/>
      <c r="D6" s="28"/>
      <c r="E6" s="28"/>
      <c r="F6" s="27"/>
      <c r="G6" s="29"/>
      <c r="H6" s="29"/>
      <c r="I6" s="29"/>
      <c r="J6" s="30"/>
    </row>
    <row r="7" spans="2:19" x14ac:dyDescent="0.3">
      <c r="B7" s="16"/>
      <c r="C7" s="16"/>
      <c r="D7" s="16"/>
      <c r="E7" s="16"/>
      <c r="F7" s="16"/>
      <c r="G7" s="16"/>
      <c r="H7" s="17" t="s">
        <v>19</v>
      </c>
      <c r="I7" s="18">
        <f ca="1">TODAY()</f>
        <v>45379</v>
      </c>
    </row>
    <row r="8" spans="2:19" ht="12.75" customHeight="1" x14ac:dyDescent="0.3">
      <c r="B8" s="125" t="s">
        <v>20</v>
      </c>
      <c r="C8" s="118" t="s">
        <v>27</v>
      </c>
      <c r="D8" s="123" t="s">
        <v>21</v>
      </c>
      <c r="E8" s="120"/>
      <c r="F8" s="118" t="s">
        <v>22</v>
      </c>
      <c r="G8" s="118" t="s">
        <v>23</v>
      </c>
      <c r="H8" s="118" t="s">
        <v>24</v>
      </c>
      <c r="I8" s="120" t="s">
        <v>26</v>
      </c>
    </row>
    <row r="9" spans="2:19" ht="24" customHeight="1" x14ac:dyDescent="0.3">
      <c r="B9" s="126"/>
      <c r="C9" s="119"/>
      <c r="D9" s="124"/>
      <c r="E9" s="121"/>
      <c r="F9" s="127"/>
      <c r="G9" s="127"/>
      <c r="H9" s="119"/>
      <c r="I9" s="121"/>
    </row>
    <row r="10" spans="2:19" x14ac:dyDescent="0.3">
      <c r="B10" s="115" t="s">
        <v>97</v>
      </c>
      <c r="C10" s="116"/>
      <c r="D10" s="116"/>
      <c r="E10" s="116"/>
      <c r="F10" s="116"/>
      <c r="G10" s="116"/>
      <c r="H10" s="116"/>
      <c r="I10" s="117"/>
    </row>
    <row r="11" spans="2:19" ht="26.4" x14ac:dyDescent="0.3">
      <c r="B11" s="19">
        <v>1</v>
      </c>
      <c r="C11" s="20" t="s">
        <v>98</v>
      </c>
      <c r="D11" s="110" t="s">
        <v>30</v>
      </c>
      <c r="E11" s="111"/>
      <c r="F11" s="24" t="s">
        <v>28</v>
      </c>
      <c r="G11" s="25" t="s">
        <v>29</v>
      </c>
      <c r="H11" s="25">
        <v>985.6</v>
      </c>
      <c r="I11" s="26">
        <f>H11*2.7</f>
        <v>2661.1200000000003</v>
      </c>
    </row>
    <row r="12" spans="2:19" x14ac:dyDescent="0.3">
      <c r="B12" s="19">
        <v>2</v>
      </c>
      <c r="C12" s="20" t="s">
        <v>98</v>
      </c>
      <c r="D12" s="110" t="s">
        <v>30</v>
      </c>
      <c r="E12" s="111"/>
      <c r="F12" s="24" t="s">
        <v>100</v>
      </c>
      <c r="G12" s="25" t="s">
        <v>62</v>
      </c>
      <c r="H12" s="25">
        <v>1</v>
      </c>
      <c r="I12" s="26">
        <v>3732</v>
      </c>
    </row>
    <row r="13" spans="2:19" ht="26.4" x14ac:dyDescent="0.3">
      <c r="B13" s="19">
        <v>3</v>
      </c>
      <c r="C13" s="20" t="s">
        <v>98</v>
      </c>
      <c r="D13" s="110" t="s">
        <v>30</v>
      </c>
      <c r="E13" s="111"/>
      <c r="F13" s="24" t="s">
        <v>153</v>
      </c>
      <c r="G13" s="25" t="s">
        <v>62</v>
      </c>
      <c r="H13" s="25">
        <v>1</v>
      </c>
      <c r="I13" s="26">
        <v>3678.5</v>
      </c>
    </row>
    <row r="14" spans="2:19" ht="52.8" x14ac:dyDescent="0.3">
      <c r="B14" s="19">
        <v>4</v>
      </c>
      <c r="C14" s="20" t="s">
        <v>98</v>
      </c>
      <c r="D14" s="110" t="s">
        <v>30</v>
      </c>
      <c r="E14" s="111"/>
      <c r="F14" s="24" t="s">
        <v>101</v>
      </c>
      <c r="G14" s="25" t="s">
        <v>31</v>
      </c>
      <c r="H14" s="25">
        <v>1</v>
      </c>
      <c r="I14" s="26">
        <f>(26883.17*1.9%)+(30932.03*1.6%)</f>
        <v>1005.69271</v>
      </c>
    </row>
    <row r="15" spans="2:19" ht="54" customHeight="1" x14ac:dyDescent="0.3">
      <c r="B15" s="19">
        <v>5</v>
      </c>
      <c r="C15" s="20" t="s">
        <v>98</v>
      </c>
      <c r="D15" s="110" t="s">
        <v>30</v>
      </c>
      <c r="E15" s="111"/>
      <c r="F15" s="51" t="s">
        <v>102</v>
      </c>
      <c r="G15" s="25" t="s">
        <v>31</v>
      </c>
      <c r="H15" s="25">
        <v>1</v>
      </c>
      <c r="I15" s="26">
        <f>985.6*0.05</f>
        <v>49.28</v>
      </c>
      <c r="N15" s="41"/>
      <c r="S15" s="41"/>
    </row>
    <row r="16" spans="2:19" x14ac:dyDescent="0.3">
      <c r="B16" s="112" t="s">
        <v>99</v>
      </c>
      <c r="C16" s="113"/>
      <c r="D16" s="113"/>
      <c r="E16" s="113"/>
      <c r="F16" s="113"/>
      <c r="G16" s="113"/>
      <c r="H16" s="114"/>
      <c r="I16" s="40">
        <f>SUM(I11:I15)</f>
        <v>11126.592710000001</v>
      </c>
    </row>
    <row r="17" spans="2:14" x14ac:dyDescent="0.3">
      <c r="B17" s="115" t="s">
        <v>103</v>
      </c>
      <c r="C17" s="116"/>
      <c r="D17" s="116"/>
      <c r="E17" s="116"/>
      <c r="F17" s="116"/>
      <c r="G17" s="116"/>
      <c r="H17" s="116"/>
      <c r="I17" s="117"/>
    </row>
    <row r="18" spans="2:14" ht="26.4" x14ac:dyDescent="0.3">
      <c r="B18" s="19">
        <v>1</v>
      </c>
      <c r="C18" s="20" t="s">
        <v>104</v>
      </c>
      <c r="D18" s="110" t="s">
        <v>30</v>
      </c>
      <c r="E18" s="111"/>
      <c r="F18" s="24" t="s">
        <v>28</v>
      </c>
      <c r="G18" s="25" t="s">
        <v>29</v>
      </c>
      <c r="H18" s="25">
        <v>985.6</v>
      </c>
      <c r="I18" s="26">
        <f>H18*2.7</f>
        <v>2661.1200000000003</v>
      </c>
    </row>
    <row r="19" spans="2:14" ht="26.4" x14ac:dyDescent="0.3">
      <c r="B19" s="19">
        <v>2</v>
      </c>
      <c r="C19" s="20" t="s">
        <v>104</v>
      </c>
      <c r="D19" s="110" t="s">
        <v>30</v>
      </c>
      <c r="E19" s="111"/>
      <c r="F19" s="24" t="s">
        <v>61</v>
      </c>
      <c r="G19" s="25" t="s">
        <v>62</v>
      </c>
      <c r="H19" s="25">
        <v>1</v>
      </c>
      <c r="I19" s="26">
        <v>5770</v>
      </c>
    </row>
    <row r="20" spans="2:14" ht="54" customHeight="1" x14ac:dyDescent="0.3">
      <c r="B20" s="19">
        <v>3</v>
      </c>
      <c r="C20" s="20" t="s">
        <v>104</v>
      </c>
      <c r="D20" s="110" t="s">
        <v>30</v>
      </c>
      <c r="E20" s="111"/>
      <c r="F20" s="51" t="s">
        <v>102</v>
      </c>
      <c r="G20" s="25" t="s">
        <v>31</v>
      </c>
      <c r="H20" s="25">
        <v>1</v>
      </c>
      <c r="I20" s="26">
        <f>985.6*0.05</f>
        <v>49.28</v>
      </c>
      <c r="N20" s="41"/>
    </row>
    <row r="21" spans="2:14" ht="52.8" x14ac:dyDescent="0.3">
      <c r="B21" s="19">
        <v>4</v>
      </c>
      <c r="C21" s="20" t="s">
        <v>104</v>
      </c>
      <c r="D21" s="110" t="s">
        <v>30</v>
      </c>
      <c r="E21" s="111"/>
      <c r="F21" s="24" t="s">
        <v>101</v>
      </c>
      <c r="G21" s="25" t="s">
        <v>31</v>
      </c>
      <c r="H21" s="25">
        <v>1</v>
      </c>
      <c r="I21" s="26">
        <f>(26883.17*1.9%)+(17955.74*1.6%)</f>
        <v>798.07206999999994</v>
      </c>
    </row>
    <row r="22" spans="2:14" x14ac:dyDescent="0.3">
      <c r="B22" s="112" t="s">
        <v>105</v>
      </c>
      <c r="C22" s="113"/>
      <c r="D22" s="113"/>
      <c r="E22" s="113"/>
      <c r="F22" s="113"/>
      <c r="G22" s="113"/>
      <c r="H22" s="114"/>
      <c r="I22" s="40">
        <f>SUM(I18:I21)</f>
        <v>9278.4720700000016</v>
      </c>
    </row>
    <row r="23" spans="2:14" x14ac:dyDescent="0.3">
      <c r="B23" s="115" t="s">
        <v>111</v>
      </c>
      <c r="C23" s="116"/>
      <c r="D23" s="116"/>
      <c r="E23" s="116"/>
      <c r="F23" s="116"/>
      <c r="G23" s="116"/>
      <c r="H23" s="116"/>
      <c r="I23" s="117"/>
    </row>
    <row r="24" spans="2:14" ht="26.4" x14ac:dyDescent="0.3">
      <c r="B24" s="19">
        <v>1</v>
      </c>
      <c r="C24" s="20" t="s">
        <v>112</v>
      </c>
      <c r="D24" s="110" t="s">
        <v>30</v>
      </c>
      <c r="E24" s="111"/>
      <c r="F24" s="24" t="s">
        <v>28</v>
      </c>
      <c r="G24" s="25" t="s">
        <v>29</v>
      </c>
      <c r="H24" s="25">
        <v>985.6</v>
      </c>
      <c r="I24" s="26">
        <f>H24*2.7</f>
        <v>2661.1200000000003</v>
      </c>
    </row>
    <row r="25" spans="2:14" ht="39.6" x14ac:dyDescent="0.3">
      <c r="B25" s="19">
        <v>2</v>
      </c>
      <c r="C25" s="20" t="s">
        <v>112</v>
      </c>
      <c r="D25" s="110" t="s">
        <v>30</v>
      </c>
      <c r="E25" s="111"/>
      <c r="F25" s="24" t="s">
        <v>114</v>
      </c>
      <c r="G25" s="25" t="s">
        <v>62</v>
      </c>
      <c r="H25" s="25">
        <v>1</v>
      </c>
      <c r="I25" s="26">
        <v>189</v>
      </c>
    </row>
    <row r="26" spans="2:14" ht="54" customHeight="1" x14ac:dyDescent="0.3">
      <c r="B26" s="19">
        <v>3</v>
      </c>
      <c r="C26" s="20" t="s">
        <v>112</v>
      </c>
      <c r="D26" s="110" t="s">
        <v>30</v>
      </c>
      <c r="E26" s="111"/>
      <c r="F26" s="51" t="s">
        <v>102</v>
      </c>
      <c r="G26" s="25" t="s">
        <v>31</v>
      </c>
      <c r="H26" s="25">
        <v>1</v>
      </c>
      <c r="I26" s="26">
        <f>985.6*0.05</f>
        <v>49.28</v>
      </c>
      <c r="N26" s="41"/>
    </row>
    <row r="27" spans="2:14" ht="52.8" x14ac:dyDescent="0.3">
      <c r="B27" s="19">
        <v>4</v>
      </c>
      <c r="C27" s="20" t="s">
        <v>112</v>
      </c>
      <c r="D27" s="110" t="s">
        <v>30</v>
      </c>
      <c r="E27" s="111"/>
      <c r="F27" s="24" t="s">
        <v>101</v>
      </c>
      <c r="G27" s="25" t="s">
        <v>31</v>
      </c>
      <c r="H27" s="25">
        <v>1</v>
      </c>
      <c r="I27" s="26">
        <f>(26883.17*1.9%)+(29283.46*1.6%)</f>
        <v>979.31558999999993</v>
      </c>
    </row>
    <row r="28" spans="2:14" x14ac:dyDescent="0.3">
      <c r="B28" s="112" t="s">
        <v>113</v>
      </c>
      <c r="C28" s="113"/>
      <c r="D28" s="113"/>
      <c r="E28" s="113"/>
      <c r="F28" s="113"/>
      <c r="G28" s="113"/>
      <c r="H28" s="114"/>
      <c r="I28" s="40">
        <f>SUM(I24:I27)</f>
        <v>3878.7155900000007</v>
      </c>
    </row>
    <row r="29" spans="2:14" x14ac:dyDescent="0.3">
      <c r="B29" s="115" t="s">
        <v>115</v>
      </c>
      <c r="C29" s="116"/>
      <c r="D29" s="116"/>
      <c r="E29" s="116"/>
      <c r="F29" s="116"/>
      <c r="G29" s="116"/>
      <c r="H29" s="116"/>
      <c r="I29" s="117"/>
    </row>
    <row r="30" spans="2:14" ht="26.4" x14ac:dyDescent="0.3">
      <c r="B30" s="19">
        <v>1</v>
      </c>
      <c r="C30" s="20" t="s">
        <v>116</v>
      </c>
      <c r="D30" s="110" t="s">
        <v>30</v>
      </c>
      <c r="E30" s="111"/>
      <c r="F30" s="24" t="s">
        <v>28</v>
      </c>
      <c r="G30" s="25" t="s">
        <v>29</v>
      </c>
      <c r="H30" s="25">
        <v>985.6</v>
      </c>
      <c r="I30" s="26">
        <f>H30*2.7</f>
        <v>2661.1200000000003</v>
      </c>
    </row>
    <row r="31" spans="2:14" ht="54" customHeight="1" x14ac:dyDescent="0.3">
      <c r="B31" s="19">
        <v>2</v>
      </c>
      <c r="C31" s="20" t="s">
        <v>116</v>
      </c>
      <c r="D31" s="110" t="s">
        <v>30</v>
      </c>
      <c r="E31" s="111"/>
      <c r="F31" s="51" t="s">
        <v>102</v>
      </c>
      <c r="G31" s="25" t="s">
        <v>31</v>
      </c>
      <c r="H31" s="25">
        <v>1</v>
      </c>
      <c r="I31" s="26">
        <f>985.6*0.05</f>
        <v>49.28</v>
      </c>
      <c r="N31" s="41"/>
    </row>
    <row r="32" spans="2:14" ht="52.8" x14ac:dyDescent="0.3">
      <c r="B32" s="19">
        <v>3</v>
      </c>
      <c r="C32" s="20" t="s">
        <v>116</v>
      </c>
      <c r="D32" s="110" t="s">
        <v>30</v>
      </c>
      <c r="E32" s="111"/>
      <c r="F32" s="24" t="s">
        <v>101</v>
      </c>
      <c r="G32" s="25" t="s">
        <v>31</v>
      </c>
      <c r="H32" s="25">
        <v>1</v>
      </c>
      <c r="I32" s="26">
        <f>(26883.25*1.9%)+(22662.41*1.6%)</f>
        <v>873.38031000000001</v>
      </c>
    </row>
    <row r="33" spans="2:14" x14ac:dyDescent="0.3">
      <c r="B33" s="112" t="s">
        <v>117</v>
      </c>
      <c r="C33" s="113"/>
      <c r="D33" s="113"/>
      <c r="E33" s="113"/>
      <c r="F33" s="113"/>
      <c r="G33" s="113"/>
      <c r="H33" s="114"/>
      <c r="I33" s="40">
        <f>SUM(I30:I32)</f>
        <v>3583.7803100000006</v>
      </c>
    </row>
    <row r="34" spans="2:14" x14ac:dyDescent="0.3">
      <c r="B34" s="115" t="s">
        <v>118</v>
      </c>
      <c r="C34" s="116"/>
      <c r="D34" s="116"/>
      <c r="E34" s="116"/>
      <c r="F34" s="116"/>
      <c r="G34" s="116"/>
      <c r="H34" s="116"/>
      <c r="I34" s="117"/>
    </row>
    <row r="35" spans="2:14" ht="26.4" x14ac:dyDescent="0.3">
      <c r="B35" s="19">
        <v>1</v>
      </c>
      <c r="C35" s="20" t="s">
        <v>119</v>
      </c>
      <c r="D35" s="110" t="s">
        <v>30</v>
      </c>
      <c r="E35" s="111"/>
      <c r="F35" s="24" t="s">
        <v>28</v>
      </c>
      <c r="G35" s="25" t="s">
        <v>29</v>
      </c>
      <c r="H35" s="25">
        <v>985.6</v>
      </c>
      <c r="I35" s="26">
        <f>H35*2.7</f>
        <v>2661.1200000000003</v>
      </c>
    </row>
    <row r="36" spans="2:14" ht="54" customHeight="1" x14ac:dyDescent="0.3">
      <c r="B36" s="19">
        <v>2</v>
      </c>
      <c r="C36" s="20" t="s">
        <v>119</v>
      </c>
      <c r="D36" s="110" t="s">
        <v>30</v>
      </c>
      <c r="E36" s="111"/>
      <c r="F36" s="51" t="s">
        <v>102</v>
      </c>
      <c r="G36" s="25" t="s">
        <v>31</v>
      </c>
      <c r="H36" s="25">
        <v>1</v>
      </c>
      <c r="I36" s="26">
        <f>985.6*0.05</f>
        <v>49.28</v>
      </c>
      <c r="N36" s="41"/>
    </row>
    <row r="37" spans="2:14" ht="52.8" x14ac:dyDescent="0.3">
      <c r="B37" s="19">
        <v>3</v>
      </c>
      <c r="C37" s="20" t="s">
        <v>119</v>
      </c>
      <c r="D37" s="110" t="s">
        <v>30</v>
      </c>
      <c r="E37" s="111"/>
      <c r="F37" s="24" t="s">
        <v>101</v>
      </c>
      <c r="G37" s="25" t="s">
        <v>31</v>
      </c>
      <c r="H37" s="25">
        <v>1</v>
      </c>
      <c r="I37" s="26">
        <f>(26883.17*1.9%)+(29091.03*1.6%)</f>
        <v>976.2367099999999</v>
      </c>
    </row>
    <row r="38" spans="2:14" x14ac:dyDescent="0.3">
      <c r="B38" s="112" t="s">
        <v>120</v>
      </c>
      <c r="C38" s="113"/>
      <c r="D38" s="113"/>
      <c r="E38" s="113"/>
      <c r="F38" s="113"/>
      <c r="G38" s="113"/>
      <c r="H38" s="114"/>
      <c r="I38" s="40">
        <f>SUM(I35:I37)</f>
        <v>3686.6367100000007</v>
      </c>
    </row>
    <row r="39" spans="2:14" x14ac:dyDescent="0.3">
      <c r="B39" s="115" t="s">
        <v>121</v>
      </c>
      <c r="C39" s="116"/>
      <c r="D39" s="116"/>
      <c r="E39" s="116"/>
      <c r="F39" s="116"/>
      <c r="G39" s="116"/>
      <c r="H39" s="116"/>
      <c r="I39" s="117"/>
    </row>
    <row r="40" spans="2:14" ht="26.4" x14ac:dyDescent="0.3">
      <c r="B40" s="19">
        <v>1</v>
      </c>
      <c r="C40" s="20" t="s">
        <v>122</v>
      </c>
      <c r="D40" s="110" t="s">
        <v>30</v>
      </c>
      <c r="E40" s="111"/>
      <c r="F40" s="24" t="s">
        <v>28</v>
      </c>
      <c r="G40" s="25" t="s">
        <v>29</v>
      </c>
      <c r="H40" s="25">
        <v>985.6</v>
      </c>
      <c r="I40" s="26">
        <f>H40*2.7</f>
        <v>2661.1200000000003</v>
      </c>
    </row>
    <row r="41" spans="2:14" ht="24" customHeight="1" x14ac:dyDescent="0.3">
      <c r="B41" s="19">
        <v>2</v>
      </c>
      <c r="C41" s="20" t="s">
        <v>122</v>
      </c>
      <c r="D41" s="110" t="s">
        <v>30</v>
      </c>
      <c r="E41" s="111"/>
      <c r="F41" s="24" t="s">
        <v>80</v>
      </c>
      <c r="G41" s="25" t="s">
        <v>62</v>
      </c>
      <c r="H41" s="25">
        <v>1</v>
      </c>
      <c r="I41" s="26">
        <v>18895</v>
      </c>
    </row>
    <row r="42" spans="2:14" ht="54" customHeight="1" x14ac:dyDescent="0.3">
      <c r="B42" s="19">
        <v>3</v>
      </c>
      <c r="C42" s="20" t="s">
        <v>122</v>
      </c>
      <c r="D42" s="110" t="s">
        <v>30</v>
      </c>
      <c r="E42" s="111"/>
      <c r="F42" s="51" t="s">
        <v>102</v>
      </c>
      <c r="G42" s="25" t="s">
        <v>31</v>
      </c>
      <c r="H42" s="25">
        <v>1</v>
      </c>
      <c r="I42" s="26">
        <f>985.6*0.05</f>
        <v>49.28</v>
      </c>
      <c r="N42" s="41"/>
    </row>
    <row r="43" spans="2:14" ht="52.8" x14ac:dyDescent="0.3">
      <c r="B43" s="19">
        <v>4</v>
      </c>
      <c r="C43" s="20" t="s">
        <v>122</v>
      </c>
      <c r="D43" s="110" t="s">
        <v>30</v>
      </c>
      <c r="E43" s="111"/>
      <c r="F43" s="24" t="s">
        <v>101</v>
      </c>
      <c r="G43" s="25" t="s">
        <v>31</v>
      </c>
      <c r="H43" s="25">
        <v>1</v>
      </c>
      <c r="I43" s="26">
        <f>(26883.17*1.9%)+(27813.28*1.6%)</f>
        <v>955.79270999999994</v>
      </c>
    </row>
    <row r="44" spans="2:14" x14ac:dyDescent="0.3">
      <c r="B44" s="112" t="s">
        <v>123</v>
      </c>
      <c r="C44" s="113"/>
      <c r="D44" s="113"/>
      <c r="E44" s="113"/>
      <c r="F44" s="113"/>
      <c r="G44" s="113"/>
      <c r="H44" s="114"/>
      <c r="I44" s="40">
        <f>SUM(I40:I43)</f>
        <v>22561.192709999999</v>
      </c>
    </row>
    <row r="45" spans="2:14" x14ac:dyDescent="0.3">
      <c r="B45" s="115" t="s">
        <v>124</v>
      </c>
      <c r="C45" s="116"/>
      <c r="D45" s="116"/>
      <c r="E45" s="116"/>
      <c r="F45" s="116"/>
      <c r="G45" s="116"/>
      <c r="H45" s="116"/>
      <c r="I45" s="117"/>
    </row>
    <row r="46" spans="2:14" ht="26.4" x14ac:dyDescent="0.3">
      <c r="B46" s="19">
        <v>1</v>
      </c>
      <c r="C46" s="20" t="s">
        <v>126</v>
      </c>
      <c r="D46" s="110" t="s">
        <v>30</v>
      </c>
      <c r="E46" s="111"/>
      <c r="F46" s="24" t="s">
        <v>28</v>
      </c>
      <c r="G46" s="25" t="s">
        <v>29</v>
      </c>
      <c r="H46" s="25">
        <v>985.6</v>
      </c>
      <c r="I46" s="26">
        <f>H46*2.7</f>
        <v>2661.1200000000003</v>
      </c>
    </row>
    <row r="47" spans="2:14" ht="54" customHeight="1" x14ac:dyDescent="0.3">
      <c r="B47" s="19">
        <v>2</v>
      </c>
      <c r="C47" s="20" t="s">
        <v>126</v>
      </c>
      <c r="D47" s="110" t="s">
        <v>30</v>
      </c>
      <c r="E47" s="111"/>
      <c r="F47" s="51" t="s">
        <v>102</v>
      </c>
      <c r="G47" s="25" t="s">
        <v>31</v>
      </c>
      <c r="H47" s="25">
        <v>1</v>
      </c>
      <c r="I47" s="26">
        <f>985.6*0.05</f>
        <v>49.28</v>
      </c>
      <c r="N47" s="41"/>
    </row>
    <row r="48" spans="2:14" ht="36" customHeight="1" x14ac:dyDescent="0.3">
      <c r="B48" s="19">
        <v>3</v>
      </c>
      <c r="C48" s="20" t="s">
        <v>126</v>
      </c>
      <c r="D48" s="110" t="s">
        <v>30</v>
      </c>
      <c r="E48" s="111"/>
      <c r="F48" s="51" t="s">
        <v>131</v>
      </c>
      <c r="G48" s="25" t="s">
        <v>62</v>
      </c>
      <c r="H48" s="25">
        <v>1</v>
      </c>
      <c r="I48" s="26">
        <v>102</v>
      </c>
      <c r="N48" s="41"/>
    </row>
    <row r="49" spans="2:14" ht="52.8" x14ac:dyDescent="0.3">
      <c r="B49" s="19">
        <v>4</v>
      </c>
      <c r="C49" s="20" t="s">
        <v>126</v>
      </c>
      <c r="D49" s="110" t="s">
        <v>30</v>
      </c>
      <c r="E49" s="111"/>
      <c r="F49" s="24" t="s">
        <v>101</v>
      </c>
      <c r="G49" s="25" t="s">
        <v>31</v>
      </c>
      <c r="H49" s="25">
        <v>1</v>
      </c>
      <c r="I49" s="26">
        <f>(26883.17*1.9%)+(24379.24*1.6%)</f>
        <v>900.84807000000001</v>
      </c>
    </row>
    <row r="50" spans="2:14" x14ac:dyDescent="0.3">
      <c r="B50" s="112" t="s">
        <v>125</v>
      </c>
      <c r="C50" s="113"/>
      <c r="D50" s="113"/>
      <c r="E50" s="113"/>
      <c r="F50" s="113"/>
      <c r="G50" s="113"/>
      <c r="H50" s="114"/>
      <c r="I50" s="40">
        <f>SUM(I46:I49)</f>
        <v>3713.2480700000006</v>
      </c>
    </row>
    <row r="51" spans="2:14" x14ac:dyDescent="0.3">
      <c r="B51" s="115" t="s">
        <v>127</v>
      </c>
      <c r="C51" s="116"/>
      <c r="D51" s="116"/>
      <c r="E51" s="116"/>
      <c r="F51" s="116"/>
      <c r="G51" s="116"/>
      <c r="H51" s="116"/>
      <c r="I51" s="117"/>
    </row>
    <row r="52" spans="2:14" ht="26.4" x14ac:dyDescent="0.3">
      <c r="B52" s="19">
        <v>1</v>
      </c>
      <c r="C52" s="20" t="s">
        <v>129</v>
      </c>
      <c r="D52" s="110" t="s">
        <v>30</v>
      </c>
      <c r="E52" s="111"/>
      <c r="F52" s="24" t="s">
        <v>28</v>
      </c>
      <c r="G52" s="25" t="s">
        <v>29</v>
      </c>
      <c r="H52" s="25">
        <v>985.6</v>
      </c>
      <c r="I52" s="26">
        <f>H52*2.7</f>
        <v>2661.1200000000003</v>
      </c>
    </row>
    <row r="53" spans="2:14" ht="26.4" x14ac:dyDescent="0.3">
      <c r="B53" s="19">
        <v>2</v>
      </c>
      <c r="C53" s="20" t="s">
        <v>129</v>
      </c>
      <c r="D53" s="110" t="s">
        <v>30</v>
      </c>
      <c r="E53" s="111"/>
      <c r="F53" s="24" t="s">
        <v>130</v>
      </c>
      <c r="G53" s="25" t="s">
        <v>62</v>
      </c>
      <c r="H53" s="25">
        <v>1</v>
      </c>
      <c r="I53" s="26">
        <v>2030</v>
      </c>
    </row>
    <row r="54" spans="2:14" ht="54" customHeight="1" x14ac:dyDescent="0.3">
      <c r="B54" s="19">
        <v>3</v>
      </c>
      <c r="C54" s="20" t="s">
        <v>129</v>
      </c>
      <c r="D54" s="110" t="s">
        <v>30</v>
      </c>
      <c r="E54" s="111"/>
      <c r="F54" s="51" t="s">
        <v>102</v>
      </c>
      <c r="G54" s="25" t="s">
        <v>31</v>
      </c>
      <c r="H54" s="25">
        <v>1</v>
      </c>
      <c r="I54" s="26">
        <f>985.6*0.05</f>
        <v>49.28</v>
      </c>
      <c r="N54" s="41"/>
    </row>
    <row r="55" spans="2:14" ht="52.8" x14ac:dyDescent="0.3">
      <c r="B55" s="19">
        <v>4</v>
      </c>
      <c r="C55" s="20" t="s">
        <v>129</v>
      </c>
      <c r="D55" s="110" t="s">
        <v>30</v>
      </c>
      <c r="E55" s="111"/>
      <c r="F55" s="24" t="s">
        <v>101</v>
      </c>
      <c r="G55" s="25" t="s">
        <v>31</v>
      </c>
      <c r="H55" s="25">
        <v>1</v>
      </c>
      <c r="I55" s="26">
        <f>(26883.17*1.9%)+(24379.24*1.6%)</f>
        <v>900.84807000000001</v>
      </c>
    </row>
    <row r="56" spans="2:14" x14ac:dyDescent="0.3">
      <c r="B56" s="112" t="s">
        <v>128</v>
      </c>
      <c r="C56" s="113"/>
      <c r="D56" s="113"/>
      <c r="E56" s="113"/>
      <c r="F56" s="113"/>
      <c r="G56" s="113"/>
      <c r="H56" s="114"/>
      <c r="I56" s="40">
        <f>SUM(I52:I55)</f>
        <v>5641.2480700000006</v>
      </c>
    </row>
    <row r="57" spans="2:14" x14ac:dyDescent="0.3">
      <c r="B57" s="115" t="s">
        <v>132</v>
      </c>
      <c r="C57" s="116"/>
      <c r="D57" s="116"/>
      <c r="E57" s="116"/>
      <c r="F57" s="116"/>
      <c r="G57" s="116"/>
      <c r="H57" s="116"/>
      <c r="I57" s="117"/>
    </row>
    <row r="58" spans="2:14" ht="26.4" x14ac:dyDescent="0.3">
      <c r="B58" s="19">
        <v>1</v>
      </c>
      <c r="C58" s="20" t="s">
        <v>133</v>
      </c>
      <c r="D58" s="110" t="s">
        <v>30</v>
      </c>
      <c r="E58" s="111"/>
      <c r="F58" s="24" t="s">
        <v>28</v>
      </c>
      <c r="G58" s="25" t="s">
        <v>29</v>
      </c>
      <c r="H58" s="25">
        <v>985.6</v>
      </c>
      <c r="I58" s="26">
        <f>H58*2.7</f>
        <v>2661.1200000000003</v>
      </c>
    </row>
    <row r="59" spans="2:14" ht="54" customHeight="1" x14ac:dyDescent="0.3">
      <c r="B59" s="19">
        <v>3</v>
      </c>
      <c r="C59" s="20" t="s">
        <v>133</v>
      </c>
      <c r="D59" s="110" t="s">
        <v>30</v>
      </c>
      <c r="E59" s="111"/>
      <c r="F59" s="51" t="s">
        <v>102</v>
      </c>
      <c r="G59" s="25" t="s">
        <v>31</v>
      </c>
      <c r="H59" s="25">
        <v>1</v>
      </c>
      <c r="I59" s="26">
        <f>985.6*0.05</f>
        <v>49.28</v>
      </c>
      <c r="N59" s="41"/>
    </row>
    <row r="60" spans="2:14" ht="52.8" x14ac:dyDescent="0.3">
      <c r="B60" s="19">
        <v>4</v>
      </c>
      <c r="C60" s="20" t="s">
        <v>133</v>
      </c>
      <c r="D60" s="110" t="s">
        <v>30</v>
      </c>
      <c r="E60" s="111"/>
      <c r="F60" s="24" t="s">
        <v>101</v>
      </c>
      <c r="G60" s="25" t="s">
        <v>31</v>
      </c>
      <c r="H60" s="25">
        <v>1</v>
      </c>
      <c r="I60" s="26">
        <f>(26883.17*1.9%)+(19035.88*1.6%)</f>
        <v>815.35430999999994</v>
      </c>
    </row>
    <row r="61" spans="2:14" x14ac:dyDescent="0.3">
      <c r="B61" s="112" t="s">
        <v>134</v>
      </c>
      <c r="C61" s="113"/>
      <c r="D61" s="113"/>
      <c r="E61" s="113"/>
      <c r="F61" s="113"/>
      <c r="G61" s="113"/>
      <c r="H61" s="114"/>
      <c r="I61" s="40">
        <f>SUM(I58:I60)</f>
        <v>3525.7543100000003</v>
      </c>
    </row>
    <row r="62" spans="2:14" ht="12.75" customHeight="1" x14ac:dyDescent="0.3">
      <c r="B62" s="115" t="s">
        <v>135</v>
      </c>
      <c r="C62" s="116"/>
      <c r="D62" s="116"/>
      <c r="E62" s="116"/>
      <c r="F62" s="116"/>
      <c r="G62" s="116"/>
      <c r="H62" s="116"/>
      <c r="I62" s="117"/>
    </row>
    <row r="63" spans="2:14" ht="26.4" x14ac:dyDescent="0.3">
      <c r="B63" s="19">
        <v>1</v>
      </c>
      <c r="C63" s="20" t="s">
        <v>137</v>
      </c>
      <c r="D63" s="110" t="s">
        <v>30</v>
      </c>
      <c r="E63" s="111"/>
      <c r="F63" s="24" t="s">
        <v>28</v>
      </c>
      <c r="G63" s="25" t="s">
        <v>29</v>
      </c>
      <c r="H63" s="25">
        <v>985.6</v>
      </c>
      <c r="I63" s="26">
        <f>H63*2.7</f>
        <v>2661.1200000000003</v>
      </c>
    </row>
    <row r="64" spans="2:14" ht="26.4" x14ac:dyDescent="0.3">
      <c r="B64" s="19">
        <v>2</v>
      </c>
      <c r="C64" s="20" t="s">
        <v>137</v>
      </c>
      <c r="D64" s="110" t="s">
        <v>30</v>
      </c>
      <c r="E64" s="111"/>
      <c r="F64" s="24" t="s">
        <v>81</v>
      </c>
      <c r="G64" s="25" t="s">
        <v>62</v>
      </c>
      <c r="H64" s="25">
        <v>1</v>
      </c>
      <c r="I64" s="26">
        <v>2026</v>
      </c>
    </row>
    <row r="65" spans="2:15" ht="54" customHeight="1" x14ac:dyDescent="0.3">
      <c r="B65" s="19">
        <v>3</v>
      </c>
      <c r="C65" s="20" t="s">
        <v>137</v>
      </c>
      <c r="D65" s="110" t="s">
        <v>30</v>
      </c>
      <c r="E65" s="111"/>
      <c r="F65" s="51" t="s">
        <v>102</v>
      </c>
      <c r="G65" s="25" t="s">
        <v>31</v>
      </c>
      <c r="H65" s="25">
        <v>1</v>
      </c>
      <c r="I65" s="26">
        <f>985.6*0.05</f>
        <v>49.28</v>
      </c>
      <c r="N65" s="41"/>
    </row>
    <row r="66" spans="2:15" ht="52.8" x14ac:dyDescent="0.3">
      <c r="B66" s="19">
        <v>4</v>
      </c>
      <c r="C66" s="20" t="s">
        <v>137</v>
      </c>
      <c r="D66" s="110" t="s">
        <v>30</v>
      </c>
      <c r="E66" s="111"/>
      <c r="F66" s="24" t="s">
        <v>101</v>
      </c>
      <c r="G66" s="25" t="s">
        <v>31</v>
      </c>
      <c r="H66" s="25">
        <v>1</v>
      </c>
      <c r="I66" s="26">
        <f>(26883.17*1.9%)+(31866.5*1.6%)</f>
        <v>1020.64423</v>
      </c>
    </row>
    <row r="67" spans="2:15" ht="12.75" customHeight="1" x14ac:dyDescent="0.3">
      <c r="B67" s="112" t="s">
        <v>136</v>
      </c>
      <c r="C67" s="113"/>
      <c r="D67" s="113"/>
      <c r="E67" s="113"/>
      <c r="F67" s="113"/>
      <c r="G67" s="113"/>
      <c r="H67" s="114"/>
      <c r="I67" s="40">
        <f>SUM(I63:I66)</f>
        <v>5757.0442300000004</v>
      </c>
    </row>
    <row r="68" spans="2:15" x14ac:dyDescent="0.3">
      <c r="B68" s="115" t="s">
        <v>138</v>
      </c>
      <c r="C68" s="116"/>
      <c r="D68" s="116"/>
      <c r="E68" s="116"/>
      <c r="F68" s="116"/>
      <c r="G68" s="116"/>
      <c r="H68" s="116"/>
      <c r="I68" s="117"/>
    </row>
    <row r="69" spans="2:15" ht="26.4" x14ac:dyDescent="0.3">
      <c r="B69" s="19">
        <v>1</v>
      </c>
      <c r="C69" s="20" t="s">
        <v>140</v>
      </c>
      <c r="D69" s="110" t="s">
        <v>30</v>
      </c>
      <c r="E69" s="111"/>
      <c r="F69" s="24" t="s">
        <v>28</v>
      </c>
      <c r="G69" s="25" t="s">
        <v>29</v>
      </c>
      <c r="H69" s="25">
        <v>985.6</v>
      </c>
      <c r="I69" s="26">
        <f>H69*2.7</f>
        <v>2661.1200000000003</v>
      </c>
    </row>
    <row r="70" spans="2:15" x14ac:dyDescent="0.3">
      <c r="B70" s="19"/>
      <c r="C70" s="20" t="s">
        <v>140</v>
      </c>
      <c r="D70" s="110" t="s">
        <v>30</v>
      </c>
      <c r="E70" s="111"/>
      <c r="F70" s="24" t="s">
        <v>141</v>
      </c>
      <c r="G70" s="25" t="s">
        <v>62</v>
      </c>
      <c r="H70" s="25">
        <v>1</v>
      </c>
      <c r="I70" s="26">
        <v>4895</v>
      </c>
    </row>
    <row r="71" spans="2:15" x14ac:dyDescent="0.3">
      <c r="B71" s="19">
        <v>2</v>
      </c>
      <c r="C71" s="20" t="s">
        <v>140</v>
      </c>
      <c r="D71" s="110" t="s">
        <v>30</v>
      </c>
      <c r="E71" s="111"/>
      <c r="F71" s="24" t="s">
        <v>100</v>
      </c>
      <c r="G71" s="25" t="s">
        <v>62</v>
      </c>
      <c r="H71" s="25">
        <v>1</v>
      </c>
      <c r="I71" s="26">
        <v>1692</v>
      </c>
    </row>
    <row r="72" spans="2:15" ht="52.8" x14ac:dyDescent="0.3">
      <c r="B72" s="19"/>
      <c r="C72" s="20" t="s">
        <v>140</v>
      </c>
      <c r="D72" s="110" t="s">
        <v>30</v>
      </c>
      <c r="E72" s="111"/>
      <c r="F72" s="24" t="s">
        <v>142</v>
      </c>
      <c r="G72" s="25" t="s">
        <v>62</v>
      </c>
      <c r="H72" s="25">
        <v>1</v>
      </c>
      <c r="I72" s="26">
        <v>166</v>
      </c>
    </row>
    <row r="73" spans="2:15" ht="52.8" x14ac:dyDescent="0.3">
      <c r="B73" s="19">
        <v>3</v>
      </c>
      <c r="C73" s="20" t="s">
        <v>140</v>
      </c>
      <c r="D73" s="110" t="s">
        <v>30</v>
      </c>
      <c r="E73" s="111"/>
      <c r="F73" s="24" t="s">
        <v>101</v>
      </c>
      <c r="G73" s="25" t="s">
        <v>31</v>
      </c>
      <c r="H73" s="25">
        <v>1</v>
      </c>
      <c r="I73" s="26">
        <f>(27208.94*1.9%)+(24379.24*1.6%)</f>
        <v>907.03769999999997</v>
      </c>
    </row>
    <row r="74" spans="2:15" ht="54" customHeight="1" x14ac:dyDescent="0.3">
      <c r="B74" s="19">
        <v>3</v>
      </c>
      <c r="C74" s="20" t="s">
        <v>140</v>
      </c>
      <c r="D74" s="110" t="s">
        <v>30</v>
      </c>
      <c r="E74" s="111"/>
      <c r="F74" s="51" t="s">
        <v>102</v>
      </c>
      <c r="G74" s="25" t="s">
        <v>31</v>
      </c>
      <c r="H74" s="25">
        <v>1</v>
      </c>
      <c r="I74" s="26">
        <f>985.6*0.05</f>
        <v>49.28</v>
      </c>
      <c r="N74" s="41"/>
    </row>
    <row r="75" spans="2:15" x14ac:dyDescent="0.3">
      <c r="B75" s="112" t="s">
        <v>139</v>
      </c>
      <c r="C75" s="113"/>
      <c r="D75" s="113"/>
      <c r="E75" s="113"/>
      <c r="F75" s="113"/>
      <c r="G75" s="113"/>
      <c r="H75" s="114"/>
      <c r="I75" s="40">
        <f>SUM(I69:I74)</f>
        <v>10370.437700000002</v>
      </c>
    </row>
    <row r="76" spans="2:15" x14ac:dyDescent="0.3">
      <c r="B76" s="115" t="s">
        <v>143</v>
      </c>
      <c r="C76" s="116"/>
      <c r="D76" s="116"/>
      <c r="E76" s="116"/>
      <c r="F76" s="116"/>
      <c r="G76" s="116"/>
      <c r="H76" s="116"/>
      <c r="I76" s="117"/>
    </row>
    <row r="77" spans="2:15" ht="26.4" x14ac:dyDescent="0.3">
      <c r="B77" s="19">
        <v>1</v>
      </c>
      <c r="C77" s="20" t="s">
        <v>144</v>
      </c>
      <c r="D77" s="110" t="s">
        <v>30</v>
      </c>
      <c r="E77" s="111"/>
      <c r="F77" s="24" t="s">
        <v>28</v>
      </c>
      <c r="G77" s="25" t="s">
        <v>29</v>
      </c>
      <c r="H77" s="25">
        <v>985.6</v>
      </c>
      <c r="I77" s="26">
        <f>H77*2.7</f>
        <v>2661.1200000000003</v>
      </c>
      <c r="O77" s="41"/>
    </row>
    <row r="78" spans="2:15" x14ac:dyDescent="0.3">
      <c r="B78" s="19">
        <v>2</v>
      </c>
      <c r="C78" s="20" t="s">
        <v>144</v>
      </c>
      <c r="D78" s="110" t="s">
        <v>30</v>
      </c>
      <c r="E78" s="111"/>
      <c r="F78" s="24" t="s">
        <v>152</v>
      </c>
      <c r="G78" s="25" t="s">
        <v>62</v>
      </c>
      <c r="H78" s="25">
        <v>1</v>
      </c>
      <c r="I78" s="26">
        <v>5400</v>
      </c>
      <c r="O78" s="41"/>
    </row>
    <row r="79" spans="2:15" ht="52.8" x14ac:dyDescent="0.3">
      <c r="B79" s="19">
        <v>3</v>
      </c>
      <c r="C79" s="20" t="s">
        <v>144</v>
      </c>
      <c r="D79" s="110" t="s">
        <v>30</v>
      </c>
      <c r="E79" s="111"/>
      <c r="F79" s="24" t="s">
        <v>101</v>
      </c>
      <c r="G79" s="25" t="s">
        <v>31</v>
      </c>
      <c r="H79" s="25">
        <v>1</v>
      </c>
      <c r="I79" s="26">
        <f>(26924.57*1.9%)+(29542.17*1.6%)</f>
        <v>984.24154999999996</v>
      </c>
    </row>
    <row r="80" spans="2:15" ht="54" customHeight="1" x14ac:dyDescent="0.3">
      <c r="B80" s="19">
        <v>4</v>
      </c>
      <c r="C80" s="20" t="s">
        <v>140</v>
      </c>
      <c r="D80" s="110" t="s">
        <v>30</v>
      </c>
      <c r="E80" s="111"/>
      <c r="F80" s="51" t="s">
        <v>102</v>
      </c>
      <c r="G80" s="25" t="s">
        <v>31</v>
      </c>
      <c r="H80" s="25">
        <v>1</v>
      </c>
      <c r="I80" s="26">
        <f>985.6*0.05</f>
        <v>49.28</v>
      </c>
      <c r="N80" s="41"/>
    </row>
    <row r="81" spans="2:9" x14ac:dyDescent="0.3">
      <c r="B81" s="112" t="s">
        <v>145</v>
      </c>
      <c r="C81" s="113"/>
      <c r="D81" s="113"/>
      <c r="E81" s="113"/>
      <c r="F81" s="113"/>
      <c r="G81" s="113"/>
      <c r="H81" s="114"/>
      <c r="I81" s="40">
        <f>SUM(I77:I80)</f>
        <v>9094.6415500000021</v>
      </c>
    </row>
    <row r="82" spans="2:9" ht="15.75" customHeight="1" x14ac:dyDescent="0.3">
      <c r="B82" s="128" t="s">
        <v>148</v>
      </c>
      <c r="C82" s="129"/>
      <c r="D82" s="129"/>
      <c r="E82" s="129"/>
      <c r="F82" s="129"/>
      <c r="G82" s="129"/>
      <c r="H82" s="130"/>
      <c r="I82" s="31">
        <f>I16+I22+I28+I33+I38+I44+I50+I56+I61+I67+I75+I81</f>
        <v>92217.76403000002</v>
      </c>
    </row>
    <row r="83" spans="2:9" x14ac:dyDescent="0.3">
      <c r="B83" s="21"/>
      <c r="C83" s="21"/>
      <c r="D83" s="22"/>
      <c r="E83" s="22"/>
      <c r="F83" s="22"/>
      <c r="G83" s="22"/>
      <c r="H83" s="22"/>
      <c r="I83" s="23"/>
    </row>
    <row r="84" spans="2:9" x14ac:dyDescent="0.3">
      <c r="B84" s="14"/>
      <c r="C84" s="14"/>
      <c r="D84" s="14"/>
      <c r="E84" s="14"/>
      <c r="F84" s="14"/>
      <c r="G84" s="14"/>
      <c r="H84" s="14"/>
      <c r="I84" s="14"/>
    </row>
    <row r="85" spans="2:9" ht="29.25" customHeight="1" x14ac:dyDescent="0.3">
      <c r="B85" s="122"/>
      <c r="C85" s="122"/>
      <c r="D85" s="122"/>
      <c r="E85" s="122"/>
      <c r="F85" s="122"/>
      <c r="G85" s="122"/>
      <c r="H85" s="122"/>
      <c r="I85" s="122"/>
    </row>
    <row r="86" spans="2:9" ht="14.4" x14ac:dyDescent="0.3">
      <c r="B86" s="91"/>
      <c r="C86" s="91"/>
      <c r="D86" s="91"/>
      <c r="E86" s="91"/>
    </row>
    <row r="87" spans="2:9" ht="14.4" x14ac:dyDescent="0.3">
      <c r="B87" s="92"/>
      <c r="C87" s="92"/>
      <c r="D87" s="92"/>
      <c r="E87" s="92"/>
      <c r="G87" s="92"/>
      <c r="H87" s="92"/>
      <c r="I87" s="92"/>
    </row>
  </sheetData>
  <mergeCells count="84">
    <mergeCell ref="B86:E86"/>
    <mergeCell ref="B87:E87"/>
    <mergeCell ref="G87:I87"/>
    <mergeCell ref="H8:H9"/>
    <mergeCell ref="I8:I9"/>
    <mergeCell ref="B85:I85"/>
    <mergeCell ref="D8:E9"/>
    <mergeCell ref="B8:B9"/>
    <mergeCell ref="C8:C9"/>
    <mergeCell ref="F8:F9"/>
    <mergeCell ref="G8:G9"/>
    <mergeCell ref="B82:H82"/>
    <mergeCell ref="D53:E53"/>
    <mergeCell ref="D54:E54"/>
    <mergeCell ref="B68:I68"/>
    <mergeCell ref="D65:E65"/>
    <mergeCell ref="D64:E64"/>
    <mergeCell ref="B51:I51"/>
    <mergeCell ref="D52:E52"/>
    <mergeCell ref="D55:E55"/>
    <mergeCell ref="B56:H56"/>
    <mergeCell ref="B57:I57"/>
    <mergeCell ref="D58:E58"/>
    <mergeCell ref="D60:E60"/>
    <mergeCell ref="B61:H61"/>
    <mergeCell ref="B62:I62"/>
    <mergeCell ref="D63:E63"/>
    <mergeCell ref="D59:E59"/>
    <mergeCell ref="D77:E77"/>
    <mergeCell ref="D79:E79"/>
    <mergeCell ref="B81:H81"/>
    <mergeCell ref="D80:E80"/>
    <mergeCell ref="D78:E78"/>
    <mergeCell ref="B10:I10"/>
    <mergeCell ref="D11:E11"/>
    <mergeCell ref="D12:E12"/>
    <mergeCell ref="D14:E14"/>
    <mergeCell ref="B76:I76"/>
    <mergeCell ref="D69:E69"/>
    <mergeCell ref="D73:E73"/>
    <mergeCell ref="B75:H75"/>
    <mergeCell ref="D71:E71"/>
    <mergeCell ref="D74:E74"/>
    <mergeCell ref="D70:E70"/>
    <mergeCell ref="D72:E72"/>
    <mergeCell ref="D66:E66"/>
    <mergeCell ref="B67:H67"/>
    <mergeCell ref="B16:H16"/>
    <mergeCell ref="D15:E15"/>
    <mergeCell ref="B17:I17"/>
    <mergeCell ref="D18:E18"/>
    <mergeCell ref="D19:E19"/>
    <mergeCell ref="D20:E20"/>
    <mergeCell ref="D21:E21"/>
    <mergeCell ref="B22:H22"/>
    <mergeCell ref="B28:H28"/>
    <mergeCell ref="B29:I29"/>
    <mergeCell ref="D30:E30"/>
    <mergeCell ref="B23:I23"/>
    <mergeCell ref="D24:E24"/>
    <mergeCell ref="D25:E25"/>
    <mergeCell ref="D26:E26"/>
    <mergeCell ref="D27:E27"/>
    <mergeCell ref="D42:E42"/>
    <mergeCell ref="D43:E43"/>
    <mergeCell ref="D36:E36"/>
    <mergeCell ref="D37:E37"/>
    <mergeCell ref="B38:H38"/>
    <mergeCell ref="D13:E13"/>
    <mergeCell ref="D47:E47"/>
    <mergeCell ref="D49:E49"/>
    <mergeCell ref="B50:H50"/>
    <mergeCell ref="D48:E48"/>
    <mergeCell ref="B45:I45"/>
    <mergeCell ref="D46:E46"/>
    <mergeCell ref="B44:H44"/>
    <mergeCell ref="D41:E41"/>
    <mergeCell ref="D31:E31"/>
    <mergeCell ref="D32:E32"/>
    <mergeCell ref="B33:H33"/>
    <mergeCell ref="B34:I34"/>
    <mergeCell ref="D35:E35"/>
    <mergeCell ref="B39:I39"/>
    <mergeCell ref="D40:E40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J24"/>
  <sheetViews>
    <sheetView zoomScaleNormal="100" workbookViewId="0">
      <selection activeCell="A23" sqref="A23:I27"/>
    </sheetView>
  </sheetViews>
  <sheetFormatPr defaultColWidth="9.109375" defaultRowHeight="13.8" x14ac:dyDescent="0.3"/>
  <cols>
    <col min="1" max="1" width="4.44140625" style="11" customWidth="1"/>
    <col min="2" max="2" width="6.5546875" style="11" customWidth="1"/>
    <col min="3" max="3" width="10.6640625" style="11" customWidth="1"/>
    <col min="4" max="4" width="6.88671875" style="11" customWidth="1"/>
    <col min="5" max="5" width="9.44140625" style="11" customWidth="1"/>
    <col min="6" max="6" width="25" style="11" customWidth="1"/>
    <col min="7" max="7" width="8.88671875" style="11" customWidth="1"/>
    <col min="8" max="8" width="8.33203125" style="11" customWidth="1"/>
    <col min="9" max="9" width="10.88671875" style="11" customWidth="1"/>
    <col min="10" max="16384" width="9.109375" style="11"/>
  </cols>
  <sheetData>
    <row r="1" spans="2:10" x14ac:dyDescent="0.3">
      <c r="B1" s="7"/>
      <c r="C1" s="8"/>
      <c r="D1" s="9"/>
      <c r="E1" s="10"/>
      <c r="F1" s="10"/>
      <c r="G1" s="7"/>
      <c r="H1" s="7"/>
    </row>
    <row r="2" spans="2:10" ht="18" x14ac:dyDescent="0.35">
      <c r="B2" s="12" t="s">
        <v>18</v>
      </c>
      <c r="C2" s="12"/>
      <c r="D2" s="13"/>
      <c r="E2" s="13"/>
      <c r="F2" s="13"/>
      <c r="G2" s="13"/>
      <c r="H2" s="14"/>
      <c r="I2" s="14"/>
    </row>
    <row r="3" spans="2:10" ht="18" x14ac:dyDescent="0.35">
      <c r="B3" s="12" t="s">
        <v>32</v>
      </c>
      <c r="C3" s="12"/>
      <c r="D3" s="13"/>
      <c r="E3" s="13"/>
      <c r="F3" s="13"/>
      <c r="G3" s="13"/>
      <c r="H3" s="14"/>
      <c r="I3" s="14"/>
    </row>
    <row r="4" spans="2:10" ht="18" x14ac:dyDescent="0.35">
      <c r="B4" s="12" t="s">
        <v>77</v>
      </c>
      <c r="C4" s="12"/>
      <c r="D4" s="15"/>
      <c r="E4" s="15"/>
      <c r="F4" s="12"/>
      <c r="G4" s="13"/>
      <c r="H4" s="14"/>
      <c r="I4" s="14"/>
    </row>
    <row r="5" spans="2:10" ht="18" x14ac:dyDescent="0.35">
      <c r="B5" s="12" t="s">
        <v>96</v>
      </c>
      <c r="C5" s="12"/>
      <c r="D5" s="15"/>
      <c r="E5" s="15"/>
      <c r="F5" s="12"/>
      <c r="G5" s="13"/>
      <c r="H5" s="14"/>
      <c r="I5" s="14"/>
    </row>
    <row r="6" spans="2:10" ht="18" x14ac:dyDescent="0.35">
      <c r="B6" s="27" t="s">
        <v>79</v>
      </c>
      <c r="C6" s="27"/>
      <c r="D6" s="28"/>
      <c r="E6" s="28"/>
      <c r="F6" s="27"/>
      <c r="G6" s="29"/>
      <c r="H6" s="29"/>
      <c r="I6" s="29"/>
      <c r="J6" s="30"/>
    </row>
    <row r="7" spans="2:10" x14ac:dyDescent="0.3">
      <c r="B7" s="16"/>
      <c r="C7" s="16"/>
      <c r="D7" s="16"/>
      <c r="E7" s="16"/>
      <c r="F7" s="16"/>
      <c r="G7" s="16"/>
      <c r="H7" s="17" t="s">
        <v>19</v>
      </c>
      <c r="I7" s="18">
        <f ca="1">TODAY()</f>
        <v>45379</v>
      </c>
    </row>
    <row r="8" spans="2:10" ht="12.75" customHeight="1" x14ac:dyDescent="0.3">
      <c r="B8" s="125" t="s">
        <v>20</v>
      </c>
      <c r="C8" s="118" t="s">
        <v>27</v>
      </c>
      <c r="D8" s="123" t="s">
        <v>21</v>
      </c>
      <c r="E8" s="120"/>
      <c r="F8" s="118" t="s">
        <v>22</v>
      </c>
      <c r="G8" s="118" t="s">
        <v>23</v>
      </c>
      <c r="H8" s="118" t="s">
        <v>24</v>
      </c>
      <c r="I8" s="120" t="s">
        <v>26</v>
      </c>
    </row>
    <row r="9" spans="2:10" ht="24" customHeight="1" x14ac:dyDescent="0.3">
      <c r="B9" s="126"/>
      <c r="C9" s="119"/>
      <c r="D9" s="124"/>
      <c r="E9" s="121"/>
      <c r="F9" s="127"/>
      <c r="G9" s="127"/>
      <c r="H9" s="119"/>
      <c r="I9" s="121"/>
    </row>
    <row r="10" spans="2:10" x14ac:dyDescent="0.3">
      <c r="B10" s="115" t="s">
        <v>106</v>
      </c>
      <c r="C10" s="116"/>
      <c r="D10" s="116"/>
      <c r="E10" s="116"/>
      <c r="F10" s="116"/>
      <c r="G10" s="116"/>
      <c r="H10" s="116"/>
      <c r="I10" s="117"/>
    </row>
    <row r="11" spans="2:10" ht="26.4" x14ac:dyDescent="0.3">
      <c r="B11" s="19">
        <v>1</v>
      </c>
      <c r="C11" s="20" t="s">
        <v>107</v>
      </c>
      <c r="D11" s="110" t="s">
        <v>30</v>
      </c>
      <c r="E11" s="111"/>
      <c r="F11" s="24" t="s">
        <v>108</v>
      </c>
      <c r="G11" s="25" t="s">
        <v>62</v>
      </c>
      <c r="H11" s="25">
        <v>1</v>
      </c>
      <c r="I11" s="26">
        <v>3721</v>
      </c>
    </row>
    <row r="12" spans="2:10" x14ac:dyDescent="0.3">
      <c r="B12" s="19">
        <v>2</v>
      </c>
      <c r="C12" s="20" t="s">
        <v>107</v>
      </c>
      <c r="D12" s="110" t="s">
        <v>30</v>
      </c>
      <c r="E12" s="111"/>
      <c r="F12" s="24" t="s">
        <v>110</v>
      </c>
      <c r="G12" s="25" t="s">
        <v>62</v>
      </c>
      <c r="H12" s="25">
        <v>1</v>
      </c>
      <c r="I12" s="26">
        <v>10440</v>
      </c>
    </row>
    <row r="13" spans="2:10" ht="26.4" x14ac:dyDescent="0.3">
      <c r="B13" s="19">
        <v>3</v>
      </c>
      <c r="C13" s="20" t="s">
        <v>107</v>
      </c>
      <c r="D13" s="110" t="s">
        <v>30</v>
      </c>
      <c r="E13" s="111"/>
      <c r="F13" s="24" t="s">
        <v>109</v>
      </c>
      <c r="G13" s="25" t="s">
        <v>62</v>
      </c>
      <c r="H13" s="25">
        <v>1</v>
      </c>
      <c r="I13" s="26">
        <v>17526</v>
      </c>
    </row>
    <row r="14" spans="2:10" x14ac:dyDescent="0.3">
      <c r="B14" s="112" t="s">
        <v>105</v>
      </c>
      <c r="C14" s="113"/>
      <c r="D14" s="113"/>
      <c r="E14" s="113"/>
      <c r="F14" s="113"/>
      <c r="G14" s="113"/>
      <c r="H14" s="114"/>
      <c r="I14" s="40">
        <f>SUM(I11:I13)</f>
        <v>31687</v>
      </c>
    </row>
    <row r="15" spans="2:10" x14ac:dyDescent="0.3">
      <c r="B15" s="115" t="s">
        <v>143</v>
      </c>
      <c r="C15" s="116"/>
      <c r="D15" s="116"/>
      <c r="E15" s="116"/>
      <c r="F15" s="116"/>
      <c r="G15" s="116"/>
      <c r="H15" s="116"/>
      <c r="I15" s="117"/>
    </row>
    <row r="16" spans="2:10" x14ac:dyDescent="0.3">
      <c r="B16" s="19">
        <v>1</v>
      </c>
      <c r="C16" s="20" t="s">
        <v>144</v>
      </c>
      <c r="D16" s="110" t="s">
        <v>30</v>
      </c>
      <c r="E16" s="111"/>
      <c r="F16" s="24" t="s">
        <v>146</v>
      </c>
      <c r="G16" s="25" t="s">
        <v>62</v>
      </c>
      <c r="H16" s="25">
        <v>1</v>
      </c>
      <c r="I16" s="26">
        <v>6154</v>
      </c>
    </row>
    <row r="17" spans="2:9" x14ac:dyDescent="0.3">
      <c r="B17" s="19">
        <v>2</v>
      </c>
      <c r="C17" s="20" t="s">
        <v>144</v>
      </c>
      <c r="D17" s="110" t="s">
        <v>30</v>
      </c>
      <c r="E17" s="111"/>
      <c r="F17" s="24" t="s">
        <v>147</v>
      </c>
      <c r="G17" s="25" t="s">
        <v>62</v>
      </c>
      <c r="H17" s="25">
        <v>1</v>
      </c>
      <c r="I17" s="26">
        <v>5875</v>
      </c>
    </row>
    <row r="18" spans="2:9" x14ac:dyDescent="0.3">
      <c r="B18" s="112" t="s">
        <v>145</v>
      </c>
      <c r="C18" s="113"/>
      <c r="D18" s="113"/>
      <c r="E18" s="113"/>
      <c r="F18" s="113"/>
      <c r="G18" s="113"/>
      <c r="H18" s="114"/>
      <c r="I18" s="40">
        <f>SUM(I16:I17)</f>
        <v>12029</v>
      </c>
    </row>
    <row r="19" spans="2:9" ht="15.75" customHeight="1" x14ac:dyDescent="0.3">
      <c r="B19" s="128" t="s">
        <v>148</v>
      </c>
      <c r="C19" s="129"/>
      <c r="D19" s="129"/>
      <c r="E19" s="129"/>
      <c r="F19" s="129"/>
      <c r="G19" s="129"/>
      <c r="H19" s="130"/>
      <c r="I19" s="31">
        <f>I14+I18</f>
        <v>43716</v>
      </c>
    </row>
    <row r="20" spans="2:9" x14ac:dyDescent="0.3">
      <c r="B20" s="21"/>
      <c r="C20" s="21"/>
      <c r="D20" s="22"/>
      <c r="E20" s="22"/>
      <c r="F20" s="22"/>
      <c r="G20" s="22"/>
      <c r="H20" s="22"/>
      <c r="I20" s="23"/>
    </row>
    <row r="21" spans="2:9" x14ac:dyDescent="0.3">
      <c r="B21" s="14"/>
      <c r="C21" s="14"/>
      <c r="D21" s="14"/>
      <c r="E21" s="14"/>
      <c r="F21" s="14"/>
      <c r="G21" s="14"/>
      <c r="H21" s="14"/>
      <c r="I21" s="14"/>
    </row>
    <row r="22" spans="2:9" ht="29.25" customHeight="1" x14ac:dyDescent="0.3">
      <c r="B22" s="122"/>
      <c r="C22" s="122"/>
      <c r="D22" s="122"/>
      <c r="E22" s="122"/>
      <c r="F22" s="122"/>
      <c r="G22" s="122"/>
      <c r="H22" s="122"/>
      <c r="I22" s="122"/>
    </row>
    <row r="23" spans="2:9" ht="14.4" x14ac:dyDescent="0.3">
      <c r="B23" s="91"/>
      <c r="C23" s="91"/>
      <c r="D23" s="91"/>
      <c r="E23" s="91"/>
    </row>
    <row r="24" spans="2:9" ht="14.4" x14ac:dyDescent="0.3">
      <c r="B24" s="92"/>
      <c r="C24" s="92"/>
      <c r="D24" s="92"/>
      <c r="E24" s="92"/>
      <c r="G24" s="92"/>
      <c r="H24" s="92"/>
      <c r="I24" s="92"/>
    </row>
  </sheetData>
  <mergeCells count="21">
    <mergeCell ref="D17:E17"/>
    <mergeCell ref="B18:H18"/>
    <mergeCell ref="B23:E23"/>
    <mergeCell ref="B24:E24"/>
    <mergeCell ref="G24:I24"/>
    <mergeCell ref="H8:H9"/>
    <mergeCell ref="I8:I9"/>
    <mergeCell ref="B22:I22"/>
    <mergeCell ref="B19:H19"/>
    <mergeCell ref="B15:I15"/>
    <mergeCell ref="B10:I10"/>
    <mergeCell ref="D11:E11"/>
    <mergeCell ref="D13:E13"/>
    <mergeCell ref="B14:H14"/>
    <mergeCell ref="D12:E12"/>
    <mergeCell ref="B8:B9"/>
    <mergeCell ref="C8:C9"/>
    <mergeCell ref="D8:E9"/>
    <mergeCell ref="F8:F9"/>
    <mergeCell ref="G8:G9"/>
    <mergeCell ref="D16:E16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R55"/>
  <sheetViews>
    <sheetView showRuler="0" zoomScaleNormal="100" workbookViewId="0">
      <selection activeCell="P9" sqref="P9"/>
    </sheetView>
  </sheetViews>
  <sheetFormatPr defaultRowHeight="14.4" x14ac:dyDescent="0.3"/>
  <cols>
    <col min="2" max="2" width="9.109375" customWidth="1"/>
    <col min="4" max="4" width="7.44140625" customWidth="1"/>
    <col min="6" max="6" width="9.109375" customWidth="1"/>
    <col min="8" max="8" width="8.33203125" customWidth="1"/>
    <col min="9" max="9" width="4.88671875" customWidth="1"/>
    <col min="10" max="10" width="7.6640625" customWidth="1"/>
    <col min="11" max="11" width="5.33203125" customWidth="1"/>
    <col min="12" max="12" width="1.6640625" customWidth="1"/>
    <col min="13" max="13" width="23.33203125" customWidth="1"/>
    <col min="18" max="18" width="22.44140625" customWidth="1"/>
  </cols>
  <sheetData>
    <row r="1" spans="1:13" x14ac:dyDescent="0.3">
      <c r="A1" s="152" t="s">
        <v>150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3" x14ac:dyDescent="0.3">
      <c r="A2" s="152" t="s">
        <v>83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</row>
    <row r="3" spans="1:13" x14ac:dyDescent="0.3">
      <c r="A3" s="153" t="s">
        <v>151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</row>
    <row r="4" spans="1:13" x14ac:dyDescent="0.3">
      <c r="A4" s="60" t="s">
        <v>82</v>
      </c>
      <c r="B4" s="61"/>
      <c r="C4" s="61"/>
      <c r="D4" s="62"/>
      <c r="E4" s="60" t="s">
        <v>67</v>
      </c>
      <c r="F4" s="61"/>
      <c r="G4" s="61"/>
      <c r="H4" s="61"/>
      <c r="I4" s="62"/>
      <c r="J4" s="60" t="s">
        <v>78</v>
      </c>
      <c r="K4" s="61"/>
      <c r="L4" s="61"/>
      <c r="M4" s="62"/>
    </row>
    <row r="5" spans="1:13" x14ac:dyDescent="0.3">
      <c r="A5" s="60" t="s">
        <v>76</v>
      </c>
      <c r="B5" s="62"/>
      <c r="C5" s="60" t="s">
        <v>68</v>
      </c>
      <c r="D5" s="61"/>
      <c r="E5" s="61"/>
      <c r="F5" s="61"/>
      <c r="G5" s="61"/>
      <c r="H5" s="62"/>
      <c r="I5" s="60" t="s">
        <v>69</v>
      </c>
      <c r="J5" s="61"/>
      <c r="K5" s="61"/>
      <c r="L5" s="61"/>
      <c r="M5" s="62"/>
    </row>
    <row r="6" spans="1:13" x14ac:dyDescent="0.3">
      <c r="A6" s="60" t="s">
        <v>71</v>
      </c>
      <c r="B6" s="61"/>
      <c r="C6" s="61"/>
      <c r="D6" s="61"/>
      <c r="E6" s="61"/>
      <c r="F6" s="61"/>
      <c r="G6" s="62"/>
      <c r="H6" s="60" t="s">
        <v>70</v>
      </c>
      <c r="I6" s="61"/>
      <c r="J6" s="61"/>
      <c r="K6" s="61"/>
      <c r="L6" s="61"/>
      <c r="M6" s="62"/>
    </row>
    <row r="7" spans="1:13" x14ac:dyDescent="0.3">
      <c r="A7" s="60" t="s">
        <v>72</v>
      </c>
      <c r="B7" s="61"/>
      <c r="C7" s="61"/>
      <c r="D7" s="61"/>
      <c r="E7" s="61"/>
      <c r="F7" s="61"/>
      <c r="G7" s="61"/>
      <c r="H7" s="53" t="s">
        <v>73</v>
      </c>
      <c r="I7" s="53"/>
      <c r="J7" s="53"/>
      <c r="K7" s="53"/>
      <c r="L7" s="53"/>
      <c r="M7" s="53"/>
    </row>
    <row r="8" spans="1:13" x14ac:dyDescent="0.3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9" spans="1:13" ht="38.25" customHeight="1" x14ac:dyDescent="0.3">
      <c r="A9" s="157" t="s">
        <v>33</v>
      </c>
      <c r="B9" s="157"/>
      <c r="C9" s="157"/>
      <c r="D9" s="157"/>
      <c r="E9" s="158" t="s">
        <v>34</v>
      </c>
      <c r="F9" s="158"/>
      <c r="G9" s="154" t="s">
        <v>35</v>
      </c>
      <c r="H9" s="155"/>
      <c r="I9" s="156"/>
      <c r="J9" s="154" t="s">
        <v>36</v>
      </c>
      <c r="K9" s="155"/>
      <c r="L9" s="156"/>
      <c r="M9" s="34" t="s">
        <v>37</v>
      </c>
    </row>
    <row r="10" spans="1:13" x14ac:dyDescent="0.3">
      <c r="A10" s="146" t="s">
        <v>38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8"/>
    </row>
    <row r="11" spans="1:13" x14ac:dyDescent="0.3">
      <c r="A11" s="149" t="s">
        <v>39</v>
      </c>
      <c r="B11" s="150"/>
      <c r="C11" s="150"/>
      <c r="D11" s="151"/>
      <c r="E11" s="132">
        <v>9673.85</v>
      </c>
      <c r="F11" s="67"/>
      <c r="G11" s="138">
        <v>100531.2</v>
      </c>
      <c r="H11" s="140"/>
      <c r="I11" s="139"/>
      <c r="J11" s="138">
        <v>96918.7</v>
      </c>
      <c r="K11" s="140"/>
      <c r="L11" s="139"/>
      <c r="M11" s="38">
        <f>E11+G11-J11</f>
        <v>13286.350000000006</v>
      </c>
    </row>
    <row r="12" spans="1:13" ht="14.25" customHeight="1" x14ac:dyDescent="0.3">
      <c r="A12" s="135" t="s">
        <v>40</v>
      </c>
      <c r="B12" s="136"/>
      <c r="C12" s="136"/>
      <c r="D12" s="137"/>
      <c r="E12" s="132">
        <v>8535.75</v>
      </c>
      <c r="F12" s="132"/>
      <c r="G12" s="132">
        <v>88704</v>
      </c>
      <c r="H12" s="132"/>
      <c r="I12" s="132"/>
      <c r="J12" s="132">
        <v>85516.5</v>
      </c>
      <c r="K12" s="132"/>
      <c r="L12" s="132"/>
      <c r="M12" s="38">
        <f>E12+G12-J12</f>
        <v>11723.25</v>
      </c>
    </row>
    <row r="13" spans="1:13" ht="21" customHeight="1" x14ac:dyDescent="0.3">
      <c r="A13" s="98" t="s">
        <v>41</v>
      </c>
      <c r="B13" s="99"/>
      <c r="C13" s="99"/>
      <c r="D13" s="100"/>
      <c r="E13" s="131"/>
      <c r="F13" s="134"/>
      <c r="G13" s="131">
        <f>SUM(G11:G12)</f>
        <v>189235.20000000001</v>
      </c>
      <c r="H13" s="133"/>
      <c r="I13" s="134"/>
      <c r="J13" s="131">
        <f>SUM(J11:J12)</f>
        <v>182435.20000000001</v>
      </c>
      <c r="K13" s="99"/>
      <c r="L13" s="100"/>
      <c r="M13" s="37">
        <f>SUM(M11:M12)</f>
        <v>25009.600000000006</v>
      </c>
    </row>
    <row r="14" spans="1:13" x14ac:dyDescent="0.3">
      <c r="A14" s="98" t="s">
        <v>65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100"/>
      <c r="M14" s="37">
        <f>'ОТЧЕТ Греческая 62-А'!M50</f>
        <v>4467.8999999999996</v>
      </c>
    </row>
    <row r="15" spans="1:13" x14ac:dyDescent="0.3">
      <c r="A15" s="67" t="s">
        <v>16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49">
        <f>'ОТЧЕТ Греческая 62-А'!M51</f>
        <v>3907.75</v>
      </c>
    </row>
    <row r="16" spans="1:13" x14ac:dyDescent="0.3">
      <c r="A16" s="98" t="s">
        <v>74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100"/>
      <c r="M16" s="49">
        <f>'ОТЧЕТ Греческая 62-А'!M52</f>
        <v>4533</v>
      </c>
    </row>
    <row r="17" spans="1:18" x14ac:dyDescent="0.3">
      <c r="A17" s="98" t="s">
        <v>75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100"/>
      <c r="M17" s="49">
        <f>'ОТЧЕТ Греческая 62-А'!M53</f>
        <v>1875.7199999999998</v>
      </c>
    </row>
    <row r="18" spans="1:18" x14ac:dyDescent="0.3">
      <c r="A18" s="98" t="s">
        <v>55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100"/>
      <c r="M18" s="37">
        <f>'ОТЧЕТ Греческая 62-А'!M54</f>
        <v>1969.42</v>
      </c>
    </row>
    <row r="19" spans="1:18" x14ac:dyDescent="0.3">
      <c r="A19" s="146" t="s">
        <v>42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8"/>
    </row>
    <row r="20" spans="1:18" x14ac:dyDescent="0.3">
      <c r="A20" s="143" t="s">
        <v>13</v>
      </c>
      <c r="B20" s="144"/>
      <c r="C20" s="144"/>
      <c r="D20" s="145"/>
      <c r="E20" s="138">
        <v>112.98</v>
      </c>
      <c r="F20" s="139"/>
      <c r="G20" s="138">
        <v>1559.49</v>
      </c>
      <c r="H20" s="140"/>
      <c r="I20" s="139"/>
      <c r="J20" s="138">
        <v>1467.12</v>
      </c>
      <c r="K20" s="141"/>
      <c r="L20" s="142"/>
      <c r="M20" s="38">
        <f>E20+G20-J20</f>
        <v>205.35000000000014</v>
      </c>
    </row>
    <row r="21" spans="1:18" ht="14.25" customHeight="1" x14ac:dyDescent="0.3">
      <c r="A21" s="98" t="s">
        <v>14</v>
      </c>
      <c r="B21" s="99"/>
      <c r="C21" s="99"/>
      <c r="D21" s="100"/>
      <c r="E21" s="132">
        <v>50.29</v>
      </c>
      <c r="F21" s="132"/>
      <c r="G21" s="131">
        <v>530.64</v>
      </c>
      <c r="H21" s="133"/>
      <c r="I21" s="134"/>
      <c r="J21" s="131">
        <v>511.05</v>
      </c>
      <c r="K21" s="133"/>
      <c r="L21" s="134"/>
      <c r="M21" s="38">
        <f>E21+G21-J21</f>
        <v>69.879999999999939</v>
      </c>
    </row>
    <row r="22" spans="1:18" x14ac:dyDescent="0.3">
      <c r="A22" s="98" t="s">
        <v>15</v>
      </c>
      <c r="B22" s="99"/>
      <c r="C22" s="99"/>
      <c r="D22" s="100"/>
      <c r="E22" s="132">
        <v>303.02999999999997</v>
      </c>
      <c r="F22" s="132"/>
      <c r="G22" s="98">
        <v>3196.68</v>
      </c>
      <c r="H22" s="99"/>
      <c r="I22" s="100"/>
      <c r="J22" s="131">
        <v>3079.03</v>
      </c>
      <c r="K22" s="99"/>
      <c r="L22" s="100"/>
      <c r="M22" s="38">
        <f>E22+G22-J22</f>
        <v>420.67999999999984</v>
      </c>
    </row>
    <row r="23" spans="1:18" ht="27.75" customHeight="1" x14ac:dyDescent="0.3">
      <c r="A23" s="135" t="s">
        <v>43</v>
      </c>
      <c r="B23" s="136"/>
      <c r="C23" s="136"/>
      <c r="D23" s="137"/>
      <c r="E23" s="132"/>
      <c r="F23" s="132"/>
      <c r="G23" s="131">
        <f>SUM(G20:G22)</f>
        <v>5286.8099999999995</v>
      </c>
      <c r="H23" s="133"/>
      <c r="I23" s="134"/>
      <c r="J23" s="98">
        <f>SUM(J20:J22)</f>
        <v>5057.2</v>
      </c>
      <c r="K23" s="99"/>
      <c r="L23" s="100"/>
      <c r="M23" s="36">
        <f>SUM(M20:M22)</f>
        <v>695.90999999999985</v>
      </c>
    </row>
    <row r="24" spans="1:18" ht="18.75" customHeight="1" x14ac:dyDescent="0.3">
      <c r="A24" s="135" t="s">
        <v>9</v>
      </c>
      <c r="B24" s="136"/>
      <c r="C24" s="136"/>
      <c r="D24" s="136"/>
      <c r="E24" s="132"/>
      <c r="F24" s="132"/>
      <c r="G24" s="131"/>
      <c r="H24" s="133"/>
      <c r="I24" s="134"/>
      <c r="J24" s="98"/>
      <c r="K24" s="99"/>
      <c r="L24" s="100"/>
      <c r="M24" s="36">
        <f>M13+M14+M15+M16+M17+M18+M23</f>
        <v>42459.3</v>
      </c>
    </row>
    <row r="25" spans="1:18" ht="17.25" customHeight="1" x14ac:dyDescent="0.3">
      <c r="A25" s="184" t="s">
        <v>44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6"/>
    </row>
    <row r="26" spans="1:18" x14ac:dyDescent="0.3">
      <c r="A26" s="5" t="s">
        <v>20</v>
      </c>
      <c r="B26" s="157" t="s">
        <v>45</v>
      </c>
      <c r="C26" s="157"/>
      <c r="D26" s="157"/>
      <c r="E26" s="157"/>
      <c r="F26" s="157"/>
      <c r="G26" s="157"/>
      <c r="H26" s="157"/>
      <c r="I26" s="157"/>
      <c r="J26" s="157"/>
      <c r="K26" s="157"/>
      <c r="L26" s="187" t="s">
        <v>46</v>
      </c>
      <c r="M26" s="187"/>
    </row>
    <row r="27" spans="1:18" x14ac:dyDescent="0.3">
      <c r="A27" s="32">
        <v>1</v>
      </c>
      <c r="B27" s="189" t="s">
        <v>28</v>
      </c>
      <c r="C27" s="189"/>
      <c r="D27" s="189"/>
      <c r="E27" s="189"/>
      <c r="F27" s="189"/>
      <c r="G27" s="189"/>
      <c r="H27" s="189"/>
      <c r="I27" s="189"/>
      <c r="J27" s="189"/>
      <c r="K27" s="189"/>
      <c r="L27" s="131">
        <v>31933.439999999999</v>
      </c>
      <c r="M27" s="134"/>
    </row>
    <row r="28" spans="1:18" ht="31.5" customHeight="1" x14ac:dyDescent="0.3">
      <c r="A28" s="32">
        <v>2</v>
      </c>
      <c r="B28" s="183" t="s">
        <v>101</v>
      </c>
      <c r="C28" s="183"/>
      <c r="D28" s="183"/>
      <c r="E28" s="183"/>
      <c r="F28" s="183"/>
      <c r="G28" s="183"/>
      <c r="H28" s="183"/>
      <c r="I28" s="183"/>
      <c r="J28" s="183"/>
      <c r="K28" s="183"/>
      <c r="L28" s="98">
        <v>11117.46</v>
      </c>
      <c r="M28" s="100"/>
    </row>
    <row r="29" spans="1:18" ht="15" customHeight="1" x14ac:dyDescent="0.3">
      <c r="A29" s="32">
        <v>3</v>
      </c>
      <c r="B29" s="175" t="s">
        <v>102</v>
      </c>
      <c r="C29" s="176"/>
      <c r="D29" s="176"/>
      <c r="E29" s="176"/>
      <c r="F29" s="176"/>
      <c r="G29" s="176"/>
      <c r="H29" s="176"/>
      <c r="I29" s="176"/>
      <c r="J29" s="176"/>
      <c r="K29" s="177"/>
      <c r="L29" s="131">
        <v>591.36</v>
      </c>
      <c r="M29" s="134"/>
      <c r="R29" s="50"/>
    </row>
    <row r="30" spans="1:18" x14ac:dyDescent="0.3">
      <c r="A30" s="32">
        <v>4</v>
      </c>
      <c r="B30" s="172" t="s">
        <v>63</v>
      </c>
      <c r="C30" s="172"/>
      <c r="D30" s="172"/>
      <c r="E30" s="172"/>
      <c r="F30" s="172"/>
      <c r="G30" s="172"/>
      <c r="H30" s="172"/>
      <c r="I30" s="172"/>
      <c r="J30" s="172"/>
      <c r="K30" s="173"/>
      <c r="L30" s="131">
        <f>'РЕМОНТ ЖИЛЬЯ'!I19</f>
        <v>43716</v>
      </c>
      <c r="M30" s="134"/>
    </row>
    <row r="31" spans="1:18" x14ac:dyDescent="0.3">
      <c r="A31" s="32">
        <v>5</v>
      </c>
      <c r="B31" s="174" t="s">
        <v>64</v>
      </c>
      <c r="C31" s="172"/>
      <c r="D31" s="172"/>
      <c r="E31" s="172"/>
      <c r="F31" s="172"/>
      <c r="G31" s="172"/>
      <c r="H31" s="172"/>
      <c r="I31" s="172"/>
      <c r="J31" s="172"/>
      <c r="K31" s="173"/>
      <c r="L31" s="131">
        <f>44897+3678.5</f>
        <v>48575.5</v>
      </c>
      <c r="M31" s="134"/>
    </row>
    <row r="32" spans="1:18" x14ac:dyDescent="0.3">
      <c r="A32" s="180" t="s">
        <v>47</v>
      </c>
      <c r="B32" s="181"/>
      <c r="C32" s="181"/>
      <c r="D32" s="181"/>
      <c r="E32" s="181"/>
      <c r="F32" s="181"/>
      <c r="G32" s="181"/>
      <c r="H32" s="181"/>
      <c r="I32" s="181"/>
      <c r="J32" s="181"/>
      <c r="K32" s="182"/>
      <c r="L32" s="178">
        <f>SUM(L27:L31)</f>
        <v>135933.76000000001</v>
      </c>
      <c r="M32" s="179"/>
    </row>
    <row r="33" spans="1:15" x14ac:dyDescent="0.3">
      <c r="A33" s="168"/>
      <c r="B33" s="169"/>
      <c r="C33" s="169"/>
      <c r="D33" s="169"/>
      <c r="E33" s="169"/>
      <c r="F33" s="169"/>
      <c r="G33" s="169"/>
      <c r="H33" s="169"/>
      <c r="I33" s="169"/>
      <c r="J33" s="169"/>
      <c r="K33" s="170"/>
      <c r="L33" s="188"/>
      <c r="M33" s="188"/>
    </row>
    <row r="34" spans="1:15" x14ac:dyDescent="0.3">
      <c r="A34" s="159" t="s">
        <v>48</v>
      </c>
      <c r="B34" s="160"/>
      <c r="C34" s="160"/>
      <c r="D34" s="160"/>
      <c r="E34" s="160"/>
      <c r="F34" s="160"/>
      <c r="G34" s="160"/>
      <c r="H34" s="160"/>
      <c r="I34" s="160"/>
      <c r="J34" s="160"/>
      <c r="K34" s="161"/>
      <c r="L34" s="54">
        <v>-9872.84</v>
      </c>
      <c r="M34" s="55"/>
    </row>
    <row r="35" spans="1:15" x14ac:dyDescent="0.3">
      <c r="A35" s="159" t="s">
        <v>52</v>
      </c>
      <c r="B35" s="160"/>
      <c r="C35" s="160"/>
      <c r="D35" s="160"/>
      <c r="E35" s="160"/>
      <c r="F35" s="160"/>
      <c r="G35" s="160"/>
      <c r="H35" s="160"/>
      <c r="I35" s="160"/>
      <c r="J35" s="160"/>
      <c r="K35" s="161"/>
      <c r="L35" s="162">
        <f>M24</f>
        <v>42459.3</v>
      </c>
      <c r="M35" s="163"/>
    </row>
    <row r="36" spans="1:15" x14ac:dyDescent="0.3">
      <c r="A36" s="159" t="s">
        <v>49</v>
      </c>
      <c r="B36" s="160"/>
      <c r="C36" s="160"/>
      <c r="D36" s="160"/>
      <c r="E36" s="160"/>
      <c r="F36" s="160"/>
      <c r="G36" s="160"/>
      <c r="H36" s="160"/>
      <c r="I36" s="160"/>
      <c r="J36" s="160"/>
      <c r="K36" s="161"/>
      <c r="L36" s="162">
        <f>J13</f>
        <v>182435.20000000001</v>
      </c>
      <c r="M36" s="163"/>
    </row>
    <row r="37" spans="1:15" x14ac:dyDescent="0.3">
      <c r="A37" s="159" t="s">
        <v>50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1"/>
      <c r="L37" s="162">
        <f>L32</f>
        <v>135933.76000000001</v>
      </c>
      <c r="M37" s="163"/>
    </row>
    <row r="38" spans="1:15" x14ac:dyDescent="0.3">
      <c r="A38" s="159" t="s">
        <v>51</v>
      </c>
      <c r="B38" s="160"/>
      <c r="C38" s="160"/>
      <c r="D38" s="160"/>
      <c r="E38" s="160"/>
      <c r="F38" s="160"/>
      <c r="G38" s="160"/>
      <c r="H38" s="160"/>
      <c r="I38" s="160"/>
      <c r="J38" s="160"/>
      <c r="K38" s="161"/>
      <c r="L38" s="162">
        <f>L34+L36-L37</f>
        <v>36628.600000000006</v>
      </c>
      <c r="M38" s="164"/>
      <c r="O38" s="42"/>
    </row>
    <row r="39" spans="1:15" x14ac:dyDescent="0.3">
      <c r="A39" s="33"/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</row>
    <row r="40" spans="1:15" x14ac:dyDescent="0.3">
      <c r="A40" s="35"/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6"/>
      <c r="M40" s="166"/>
    </row>
    <row r="41" spans="1:15" x14ac:dyDescent="0.3">
      <c r="A41" s="35"/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</row>
    <row r="42" spans="1:15" x14ac:dyDescent="0.3">
      <c r="A42" s="35"/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</row>
    <row r="43" spans="1:15" x14ac:dyDescent="0.3">
      <c r="A43" s="1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"/>
      <c r="M43" s="1"/>
    </row>
    <row r="44" spans="1:15" x14ac:dyDescent="0.3">
      <c r="A44" s="1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</row>
    <row r="45" spans="1:1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</sheetData>
  <mergeCells count="95">
    <mergeCell ref="L33:M33"/>
    <mergeCell ref="L34:M34"/>
    <mergeCell ref="A4:D4"/>
    <mergeCell ref="E4:I4"/>
    <mergeCell ref="J4:M4"/>
    <mergeCell ref="A5:B5"/>
    <mergeCell ref="C5:H5"/>
    <mergeCell ref="I5:M5"/>
    <mergeCell ref="A6:G6"/>
    <mergeCell ref="H6:M6"/>
    <mergeCell ref="A7:G7"/>
    <mergeCell ref="H7:M7"/>
    <mergeCell ref="A14:L14"/>
    <mergeCell ref="A15:L15"/>
    <mergeCell ref="A16:L16"/>
    <mergeCell ref="B27:K27"/>
    <mergeCell ref="L32:M32"/>
    <mergeCell ref="E24:F24"/>
    <mergeCell ref="G24:I24"/>
    <mergeCell ref="J24:L24"/>
    <mergeCell ref="A32:K32"/>
    <mergeCell ref="B28:K28"/>
    <mergeCell ref="L27:M27"/>
    <mergeCell ref="L28:M28"/>
    <mergeCell ref="A25:M25"/>
    <mergeCell ref="B26:K26"/>
    <mergeCell ref="L30:M30"/>
    <mergeCell ref="L31:M31"/>
    <mergeCell ref="L29:M29"/>
    <mergeCell ref="L26:M26"/>
    <mergeCell ref="B41:K41"/>
    <mergeCell ref="A33:K33"/>
    <mergeCell ref="A34:K34"/>
    <mergeCell ref="B43:K43"/>
    <mergeCell ref="A24:D24"/>
    <mergeCell ref="A36:K36"/>
    <mergeCell ref="B30:K30"/>
    <mergeCell ref="B31:K31"/>
    <mergeCell ref="B29:K29"/>
    <mergeCell ref="B44:K44"/>
    <mergeCell ref="L44:M44"/>
    <mergeCell ref="A35:K35"/>
    <mergeCell ref="L35:M35"/>
    <mergeCell ref="L37:M37"/>
    <mergeCell ref="L38:M38"/>
    <mergeCell ref="L39:M39"/>
    <mergeCell ref="L40:M40"/>
    <mergeCell ref="L41:M41"/>
    <mergeCell ref="L42:M42"/>
    <mergeCell ref="L36:M36"/>
    <mergeCell ref="B39:K39"/>
    <mergeCell ref="B40:K40"/>
    <mergeCell ref="B42:K42"/>
    <mergeCell ref="A38:K38"/>
    <mergeCell ref="A37:K37"/>
    <mergeCell ref="A1:M1"/>
    <mergeCell ref="A2:M2"/>
    <mergeCell ref="A3:M3"/>
    <mergeCell ref="G9:I9"/>
    <mergeCell ref="J9:L9"/>
    <mergeCell ref="A9:D9"/>
    <mergeCell ref="E9:F9"/>
    <mergeCell ref="A8:M8"/>
    <mergeCell ref="A10:M10"/>
    <mergeCell ref="A11:D11"/>
    <mergeCell ref="E11:F11"/>
    <mergeCell ref="J13:L13"/>
    <mergeCell ref="A19:M19"/>
    <mergeCell ref="G11:I11"/>
    <mergeCell ref="G12:I12"/>
    <mergeCell ref="J12:L12"/>
    <mergeCell ref="J11:L11"/>
    <mergeCell ref="A12:D12"/>
    <mergeCell ref="E12:F12"/>
    <mergeCell ref="A13:D13"/>
    <mergeCell ref="E13:F13"/>
    <mergeCell ref="G13:I13"/>
    <mergeCell ref="A17:L17"/>
    <mergeCell ref="A18:L18"/>
    <mergeCell ref="E20:F20"/>
    <mergeCell ref="G20:I20"/>
    <mergeCell ref="J20:L20"/>
    <mergeCell ref="A20:D20"/>
    <mergeCell ref="A21:D21"/>
    <mergeCell ref="G21:I21"/>
    <mergeCell ref="J21:L21"/>
    <mergeCell ref="E21:F21"/>
    <mergeCell ref="A22:D22"/>
    <mergeCell ref="G22:I22"/>
    <mergeCell ref="J22:L22"/>
    <mergeCell ref="E23:F23"/>
    <mergeCell ref="E22:F22"/>
    <mergeCell ref="G23:I23"/>
    <mergeCell ref="J23:L23"/>
    <mergeCell ref="A23:D23"/>
  </mergeCells>
  <pageMargins left="0.39370078740157483" right="7.874015748031496E-2" top="0.35433070866141736" bottom="0.35433070866141736" header="0" footer="0"/>
  <pageSetup scale="88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 Греческая 62-А</vt:lpstr>
      <vt:lpstr>СОДЕРЖАНИЕ ЖИЛЬЯ</vt:lpstr>
      <vt:lpstr>РЕМОНТ ЖИЛЬЯ</vt:lpstr>
      <vt:lpstr>ОТЧЕТ Греческая 62  на подпись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Пользователь</cp:lastModifiedBy>
  <cp:lastPrinted>2022-03-25T20:12:19Z</cp:lastPrinted>
  <dcterms:created xsi:type="dcterms:W3CDTF">2015-06-05T18:19:34Z</dcterms:created>
  <dcterms:modified xsi:type="dcterms:W3CDTF">2024-03-28T15:20:34Z</dcterms:modified>
</cp:coreProperties>
</file>