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0D875F42-CB2F-4925-8A43-42E578F49C3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Энгельса 3" sheetId="1" r:id="rId1"/>
    <sheet name="СОДЕРЖАНИЕ ЖИЛЬЯ" sheetId="2" r:id="rId2"/>
    <sheet name="РЕМОНТ ЖИЛЬЯ" sheetId="3" r:id="rId3"/>
    <sheet name="ОТЧЕТ Энгельса 3  на подпись" sheetId="4" r:id="rId4"/>
  </sheets>
  <calcPr calcId="191029" refMode="R1C1"/>
</workbook>
</file>

<file path=xl/calcChain.xml><?xml version="1.0" encoding="utf-8"?>
<calcChain xmlns="http://schemas.openxmlformats.org/spreadsheetml/2006/main">
  <c r="L33" i="4" l="1"/>
  <c r="L31" i="4"/>
  <c r="J27" i="4"/>
  <c r="M20" i="4"/>
  <c r="M19" i="4"/>
  <c r="K36" i="1" l="1"/>
  <c r="K37" i="1"/>
  <c r="K38" i="1"/>
  <c r="K39" i="1"/>
  <c r="K40" i="1"/>
  <c r="I87" i="2"/>
  <c r="I19" i="3"/>
  <c r="I41" i="1" s="1"/>
  <c r="K41" i="1" s="1"/>
  <c r="I15" i="3"/>
  <c r="I79" i="2"/>
  <c r="I72" i="2"/>
  <c r="I62" i="2"/>
  <c r="I55" i="2"/>
  <c r="I49" i="2"/>
  <c r="I44" i="2"/>
  <c r="I39" i="2"/>
  <c r="I33" i="2"/>
  <c r="I27" i="2"/>
  <c r="I20" i="2"/>
  <c r="I12" i="2"/>
  <c r="I47" i="2"/>
  <c r="M57" i="1" l="1"/>
  <c r="M56" i="1"/>
  <c r="I49" i="1"/>
  <c r="K49" i="1" s="1"/>
  <c r="I48" i="1"/>
  <c r="K48" i="1" s="1"/>
  <c r="I47" i="1"/>
  <c r="K47" i="1" s="1"/>
  <c r="I46" i="1"/>
  <c r="K46" i="1" s="1"/>
  <c r="I35" i="1" l="1"/>
  <c r="I14" i="2"/>
  <c r="I19" i="2" s="1"/>
  <c r="I26" i="2" s="1"/>
  <c r="E42" i="1"/>
  <c r="M59" i="1"/>
  <c r="G33" i="1"/>
  <c r="G16" i="1"/>
  <c r="G32" i="1"/>
  <c r="G15" i="1"/>
  <c r="G14" i="1"/>
  <c r="M14" i="1" s="1"/>
  <c r="G31" i="1"/>
  <c r="M31" i="1" s="1"/>
  <c r="G13" i="1"/>
  <c r="M13" i="1" s="1"/>
  <c r="M27" i="4"/>
  <c r="G27" i="4"/>
  <c r="I34" i="2" l="1"/>
  <c r="I38" i="2" s="1"/>
  <c r="I43" i="2" s="1"/>
  <c r="I48" i="2" s="1"/>
  <c r="I54" i="2" s="1"/>
  <c r="I63" i="2" s="1"/>
  <c r="I67" i="2" s="1"/>
  <c r="I76" i="2" s="1"/>
  <c r="I83" i="2" s="1"/>
  <c r="I12" i="3"/>
  <c r="I20" i="3" s="1"/>
  <c r="L34" i="4" s="1"/>
  <c r="I32" i="1" l="1"/>
  <c r="E25" i="1" l="1"/>
  <c r="L7" i="1" s="1"/>
  <c r="K32" i="1"/>
  <c r="K33" i="1"/>
  <c r="K34" i="1"/>
  <c r="K35" i="1"/>
  <c r="K30" i="1"/>
  <c r="I82" i="2"/>
  <c r="I75" i="2"/>
  <c r="I66" i="2"/>
  <c r="I60" i="2"/>
  <c r="I53" i="2"/>
  <c r="I42" i="2"/>
  <c r="I37" i="2"/>
  <c r="I30" i="2"/>
  <c r="I23" i="2"/>
  <c r="I17" i="2"/>
  <c r="I51" i="2" l="1"/>
  <c r="I19" i="1" s="1"/>
  <c r="K19" i="1" s="1"/>
  <c r="M30" i="1"/>
  <c r="L36" i="4" l="1"/>
  <c r="L41" i="4" s="1"/>
  <c r="J14" i="4"/>
  <c r="L40" i="4" s="1"/>
  <c r="G14" i="4"/>
  <c r="M14" i="4"/>
  <c r="M28" i="4" s="1"/>
  <c r="K50" i="1"/>
  <c r="I50" i="1"/>
  <c r="L42" i="4" l="1"/>
  <c r="M15" i="1"/>
  <c r="M16" i="1" s="1"/>
  <c r="M17" i="1" s="1"/>
  <c r="M32" i="1"/>
  <c r="M33" i="1" s="1"/>
  <c r="M34" i="1" s="1"/>
  <c r="L39" i="4"/>
  <c r="G42" i="1"/>
  <c r="G25" i="1"/>
  <c r="L8" i="1" l="1"/>
  <c r="M18" i="1"/>
  <c r="M35" i="1"/>
  <c r="I89" i="2"/>
  <c r="I80" i="2"/>
  <c r="I23" i="1" s="1"/>
  <c r="K23" i="1" s="1"/>
  <c r="I73" i="2"/>
  <c r="I22" i="1" s="1"/>
  <c r="K22" i="1" s="1"/>
  <c r="I64" i="2"/>
  <c r="I21" i="1" s="1"/>
  <c r="K21" i="1" s="1"/>
  <c r="I58" i="2"/>
  <c r="I20" i="1" s="1"/>
  <c r="K20" i="1" s="1"/>
  <c r="I45" i="2"/>
  <c r="I18" i="1" s="1"/>
  <c r="I40" i="2"/>
  <c r="I17" i="1" s="1"/>
  <c r="I35" i="2"/>
  <c r="I16" i="1" s="1"/>
  <c r="I28" i="2"/>
  <c r="I15" i="1" s="1"/>
  <c r="I21" i="2"/>
  <c r="I14" i="1" s="1"/>
  <c r="I15" i="2"/>
  <c r="I13" i="1" s="1"/>
  <c r="I24" i="1" l="1"/>
  <c r="I90" i="2"/>
  <c r="I25" i="1"/>
  <c r="K17" i="1"/>
  <c r="K14" i="1"/>
  <c r="K18" i="1"/>
  <c r="K16" i="1"/>
  <c r="K15" i="1"/>
  <c r="K24" i="1"/>
  <c r="K13" i="1"/>
  <c r="M19" i="1"/>
  <c r="M20" i="1" s="1"/>
  <c r="M36" i="1"/>
  <c r="M37" i="1" s="1"/>
  <c r="M21" i="1" l="1"/>
  <c r="M22" i="1" l="1"/>
  <c r="M38" i="1"/>
  <c r="K25" i="1"/>
  <c r="K26" i="1" s="1"/>
  <c r="M23" i="1" l="1"/>
  <c r="M39" i="1"/>
  <c r="I7" i="3" l="1"/>
  <c r="M40" i="1" l="1"/>
  <c r="M42" i="1" s="1"/>
  <c r="I7" i="2"/>
  <c r="I42" i="1" l="1"/>
  <c r="K31" i="1"/>
  <c r="K42" i="1" s="1"/>
  <c r="M50" i="1"/>
  <c r="M25" i="1"/>
  <c r="M61" i="1" s="1"/>
  <c r="K43" i="1" l="1"/>
  <c r="M62" i="1" s="1"/>
</calcChain>
</file>

<file path=xl/sharedStrings.xml><?xml version="1.0" encoding="utf-8"?>
<sst xmlns="http://schemas.openxmlformats.org/spreadsheetml/2006/main" count="436" uniqueCount="166">
  <si>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</si>
  <si>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</si>
  <si>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</si>
  <si>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</si>
  <si>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</si>
  <si>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</si>
  <si>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</si>
  <si>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</si>
  <si>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</si>
  <si>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</si>
  <si>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</si>
  <si>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</si>
  <si>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</si>
  <si>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</si>
  <si>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</si>
  <si>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</si>
  <si>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</si>
  <si>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</si>
  <si>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</si>
  <si>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</si>
  <si>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</si>
  <si>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</si>
  <si>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</si>
  <si>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</si>
  <si>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</si>
  <si>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</si>
  <si>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</si>
  <si>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</si>
  <si>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</si>
  <si>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</si>
  <si>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</si>
  <si>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</si>
  <si>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</si>
  <si>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</si>
  <si>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</si>
  <si>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</si>
  <si>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</si>
  <si>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</si>
  <si>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</si>
  <si>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</si>
  <si>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</si>
  <si>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</si>
  <si>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</si>
  <si>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</si>
  <si>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</si>
  <si>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</si>
  <si>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</si>
  <si>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</si>
  <si>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</si>
  <si>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</si>
  <si>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</si>
  <si>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</si>
  <si>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</si>
  <si>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</si>
  <si>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</si>
  <si>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</si>
  <si>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</si>
  <si>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</si>
  <si>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</si>
  <si>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</si>
  <si>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</si>
  <si>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</si>
  <si>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</si>
  <si>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</si>
  <si>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</si>
  <si>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</si>
  <si>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</si>
  <si>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</si>
  <si>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Проверка вентканалов и дымоходов</t>
  </si>
  <si>
    <t>усл.</t>
  </si>
  <si>
    <t>ОТЧЕТ ООО "Управляющая компания "ЮгДомКомфорт" за 2022г. перед собственниками</t>
  </si>
  <si>
    <t>31.12.2022г.</t>
  </si>
  <si>
    <t>ТО ВДГО</t>
  </si>
  <si>
    <t>на доме № 10 по ул. Жуковского</t>
  </si>
  <si>
    <t>Управляющая компания ООО "УК "ЮгДомКомфорт" с  01.02.2022 г.</t>
  </si>
  <si>
    <t>Ремонт ОИ</t>
  </si>
  <si>
    <t>Содержание ОИ</t>
  </si>
  <si>
    <t>Тариф -10,99 руб.</t>
  </si>
  <si>
    <t>дома по адресу: Ростовская область, г. Таганрог, ул.Энгельса, д.3</t>
  </si>
  <si>
    <t>Лицевой счет МКД по адресу: г. Таганрог, ул. Энгельса, д. 3</t>
  </si>
  <si>
    <t>S жилых помещений - 1873,5 м²</t>
  </si>
  <si>
    <t>Протокол №1 от 24 октябрь 2021г.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</si>
  <si>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</si>
  <si>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</si>
  <si>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</si>
  <si>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Вознаграждение председателю МКД- 3,00 руб.</t>
  </si>
  <si>
    <t>Содержание ОПУ эл. эн.- 0,05 руб.</t>
  </si>
  <si>
    <t>Уборка придомовой территории- 3,00 руб</t>
  </si>
  <si>
    <t>Содержание газовых сетей-0,07 руб</t>
  </si>
  <si>
    <t>Содержание ОПУ тепловой эн.-0,40 руб.</t>
  </si>
  <si>
    <t>Уборка лестничных клетей-2,00 руб.</t>
  </si>
  <si>
    <t>Приказ ГЖИ № 12-Л  от 11.01.22г.</t>
  </si>
  <si>
    <t>Совет МКД</t>
  </si>
  <si>
    <t>Сод.ОПУ ТЭ</t>
  </si>
  <si>
    <t>Сод.ОПУ ЭЛ</t>
  </si>
  <si>
    <t>Уборка лест.клеток</t>
  </si>
  <si>
    <t>Уборка придом.терр.</t>
  </si>
  <si>
    <t>Эл.Энергия 
(СОИД)(повыш.тариф)</t>
  </si>
  <si>
    <t>на доме № 3 по ул. Энгельса</t>
  </si>
  <si>
    <t xml:space="preserve">Снятие показаний с прибора учета </t>
  </si>
  <si>
    <t>Снятие показаний с прибора учета ТЭ ноябрь, декабрь</t>
  </si>
  <si>
    <t>Должники на 01.01.2023г.</t>
  </si>
  <si>
    <t>Начисленно средств за 2023г.</t>
  </si>
  <si>
    <t>Оплачено средств за 2023г.</t>
  </si>
  <si>
    <t>Баланс дома на 01.01.2023г.</t>
  </si>
  <si>
    <t>Январь</t>
  </si>
  <si>
    <t xml:space="preserve">Остаток по статье "Ремонт общего имущества МКД" на конец периода </t>
  </si>
  <si>
    <t>ИТОГО задолженность</t>
  </si>
  <si>
    <t>Информация за 2023г.</t>
  </si>
  <si>
    <t>за период с 01.01.2023г. по 30.06.2023г.</t>
  </si>
  <si>
    <t>Январь 2023г.</t>
  </si>
  <si>
    <t>31.01.2023г.</t>
  </si>
  <si>
    <t xml:space="preserve">Размещение на сайте ГИС ЖКХ информации </t>
  </si>
  <si>
    <t>28.02.2023г.</t>
  </si>
  <si>
    <t>Февраль 2023г.</t>
  </si>
  <si>
    <t>ИТОГО январь 2023г.</t>
  </si>
  <si>
    <t>ИТОГО февраль 2023г.</t>
  </si>
  <si>
    <t>Март 2023г.</t>
  </si>
  <si>
    <t>31.03.2023г.</t>
  </si>
  <si>
    <t>ИТОГО март 2023г.</t>
  </si>
  <si>
    <t xml:space="preserve">Проверка вентканалов и дымоходов </t>
  </si>
  <si>
    <t>Замена участка стояка ЦК</t>
  </si>
  <si>
    <t>Апрель 2023г.</t>
  </si>
  <si>
    <t>ИТОГО апрель 2023г.</t>
  </si>
  <si>
    <t>30.04.2023г.</t>
  </si>
  <si>
    <t>Приобретение сеток оконных</t>
  </si>
  <si>
    <t xml:space="preserve">Снятие показаний с прибора учета  </t>
  </si>
  <si>
    <t>Май 2023г.</t>
  </si>
  <si>
    <t>ИТОГО май 2023г.</t>
  </si>
  <si>
    <t>31.05.2023г.</t>
  </si>
  <si>
    <t>Июнь 2023г.</t>
  </si>
  <si>
    <t>30.06.2023г.</t>
  </si>
  <si>
    <t>ИТОГО июнь 2023г.</t>
  </si>
  <si>
    <t xml:space="preserve">Ремонт подъезда №2 5 этаж- укрепление перил, штукатурка </t>
  </si>
  <si>
    <t>Задолженность на 31.12.2023г.</t>
  </si>
  <si>
    <t>Июль 2023г.</t>
  </si>
  <si>
    <t>ИТОГО июль 2023г.</t>
  </si>
  <si>
    <t>31.07.2023г.</t>
  </si>
  <si>
    <t>Приобр. Мат., окр. плинтусов 2 по., расчистка старой краски</t>
  </si>
  <si>
    <t>Август 2023г.</t>
  </si>
  <si>
    <t>Закраска граффити</t>
  </si>
  <si>
    <t>31.08.2023г.</t>
  </si>
  <si>
    <t>ИТОГО август 2023г.</t>
  </si>
  <si>
    <t>Сентябрь 2023г.</t>
  </si>
  <si>
    <t>30.09.2023г.</t>
  </si>
  <si>
    <t>ИТОГО сентябрь 2023г.</t>
  </si>
  <si>
    <t>Октябрь 2023г.</t>
  </si>
  <si>
    <t>Помывка, шайбировка</t>
  </si>
  <si>
    <t>Снятие показаний УУТЭ</t>
  </si>
  <si>
    <t>Приобретение и доставка лампочек</t>
  </si>
  <si>
    <t>31.10.2023г.</t>
  </si>
  <si>
    <t>ИТОГО октябрь 2023г.</t>
  </si>
  <si>
    <t>Ноябрь 2023г.</t>
  </si>
  <si>
    <t>Установка переходных муфт на сбросных кранах</t>
  </si>
  <si>
    <t>Обработка и передача показаний ОДПУ ЭЭ</t>
  </si>
  <si>
    <t>30.11.2023г.</t>
  </si>
  <si>
    <t>ИТОГО ноябрь 2023г.</t>
  </si>
  <si>
    <t>Декабрь 2023г.</t>
  </si>
  <si>
    <t>Замена стояка канализации кв2,3,6,7</t>
  </si>
  <si>
    <t>Ремонт участка канализации в подвале</t>
  </si>
  <si>
    <t>31.12.2023г.</t>
  </si>
  <si>
    <t>за период с 01.01.2023г. по 31.12.2023г.</t>
  </si>
  <si>
    <t>ИТОГО декабрь 2023г.</t>
  </si>
  <si>
    <t xml:space="preserve">ИТОГО за 2023г. </t>
  </si>
  <si>
    <t>Кронирование джеревьев с использованием а/вышки</t>
  </si>
  <si>
    <t>с 01.02.2023г. по 31.12.2023г.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</si>
</sst>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9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4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4" fontId="0" fillId="0" borderId="0" xfId="0" applyNumberFormat="1"/>
    <xf numFmtId="2" fontId="4" fillId="4" borderId="4" xfId="0" applyNumberFormat="1" applyFont="1" applyFill="1" applyBorder="1" applyAlignment="1">
      <alignment horizontal="right" vertical="top" wrapText="1"/>
    </xf>
    <xf numFmtId="1" fontId="22" fillId="0" borderId="4" xfId="0" applyNumberFormat="1" applyFont="1" applyBorder="1" applyAlignment="1">
      <alignment horizontal="left" vertical="top" wrapText="1"/>
    </xf>
    <xf numFmtId="1" fontId="22" fillId="0" borderId="4" xfId="0" applyNumberFormat="1" applyFont="1" applyBorder="1" applyAlignment="1">
      <alignment horizontal="left" vertical="top"/>
    </xf>
    <xf numFmtId="2" fontId="29" fillId="4" borderId="4" xfId="0" applyNumberFormat="1" applyFont="1" applyFill="1" applyBorder="1" applyAlignment="1">
      <alignment horizontal="right" vertical="center" wrapText="1"/>
    </xf>
    <xf numFmtId="2" fontId="29" fillId="4" borderId="4" xfId="0" applyNumberFormat="1" applyFont="1" applyFill="1" applyBorder="1" applyAlignment="1">
      <alignment horizontal="right" vertical="top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4" xfId="0" applyFont="1" applyBorder="1"/>
    <xf numFmtId="2" fontId="3" fillId="0" borderId="4" xfId="0" applyNumberFormat="1" applyFont="1" applyBorder="1"/>
    <xf numFmtId="0" fontId="3" fillId="0" borderId="1" xfId="0" applyFont="1" applyBorder="1"/>
    <xf numFmtId="0" fontId="3" fillId="0" borderId="3" xfId="0" applyFont="1" applyBorder="1"/>
    <xf numFmtId="0" fontId="8" fillId="0" borderId="4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2" xfId="0" applyFont="1" applyBorder="1"/>
    <xf numFmtId="2" fontId="3" fillId="0" borderId="2" xfId="0" applyNumberFormat="1" applyFont="1" applyBorder="1"/>
    <xf numFmtId="4" fontId="3" fillId="0" borderId="1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2" borderId="1" xfId="0" applyNumberFormat="1" applyFont="1" applyFill="1" applyBorder="1"/>
    <xf numFmtId="0" fontId="3" fillId="2" borderId="3" xfId="0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3" fillId="2" borderId="4" xfId="0" applyNumberFormat="1" applyFont="1" applyFill="1" applyBorder="1"/>
    <xf numFmtId="0" fontId="3" fillId="2" borderId="4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6" fillId="2" borderId="4" xfId="0" applyNumberFormat="1" applyFont="1" applyFill="1" applyBorder="1"/>
    <xf numFmtId="0" fontId="6" fillId="2" borderId="4" xfId="0" applyFont="1" applyFill="1" applyBorder="1"/>
    <xf numFmtId="4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4" xfId="0" applyNumberFormat="1" applyFont="1" applyBorder="1"/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2" fontId="8" fillId="4" borderId="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66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  <col min="15" max="15" width="10.6640625" bestFit="1" customWidth="1"/>
  </cols>
  <sheetData>
    <row r="1" spans="1:16" x14ac:dyDescent="0.3">
      <c r="A1" s="95" t="s">
        <v>79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6" x14ac:dyDescent="0.3">
      <c r="A2" s="62" t="s">
        <v>80</v>
      </c>
      <c r="B2" s="68"/>
      <c r="C2" s="68"/>
      <c r="D2" s="63"/>
      <c r="E2" s="62" t="s">
        <v>81</v>
      </c>
      <c r="F2" s="68"/>
      <c r="G2" s="68"/>
      <c r="H2" s="68"/>
      <c r="I2" s="63"/>
      <c r="J2" s="62" t="s">
        <v>91</v>
      </c>
      <c r="K2" s="68"/>
      <c r="L2" s="68"/>
      <c r="M2" s="63"/>
    </row>
    <row r="3" spans="1:16" x14ac:dyDescent="0.3">
      <c r="A3" s="62" t="s">
        <v>77</v>
      </c>
      <c r="B3" s="63"/>
      <c r="C3" s="62" t="s">
        <v>82</v>
      </c>
      <c r="D3" s="68"/>
      <c r="E3" s="68"/>
      <c r="F3" s="68"/>
      <c r="G3" s="68"/>
      <c r="H3" s="63"/>
      <c r="I3" s="62" t="s">
        <v>83</v>
      </c>
      <c r="J3" s="68"/>
      <c r="K3" s="68"/>
      <c r="L3" s="68"/>
      <c r="M3" s="63"/>
    </row>
    <row r="4" spans="1:16" x14ac:dyDescent="0.3">
      <c r="A4" s="62" t="s">
        <v>84</v>
      </c>
      <c r="B4" s="68"/>
      <c r="C4" s="68"/>
      <c r="D4" s="68"/>
      <c r="E4" s="68"/>
      <c r="F4" s="68"/>
      <c r="G4" s="63"/>
      <c r="H4" s="62" t="s">
        <v>85</v>
      </c>
      <c r="I4" s="68"/>
      <c r="J4" s="68"/>
      <c r="K4" s="68"/>
      <c r="L4" s="68"/>
      <c r="M4" s="63"/>
    </row>
    <row r="5" spans="1:16" x14ac:dyDescent="0.3">
      <c r="A5" s="60" t="s">
        <v>86</v>
      </c>
      <c r="B5" s="60"/>
      <c r="C5" s="60"/>
      <c r="D5" s="60"/>
      <c r="E5" s="60" t="s">
        <v>87</v>
      </c>
      <c r="F5" s="60"/>
      <c r="G5" s="60"/>
      <c r="H5" s="60"/>
      <c r="I5" s="60"/>
      <c r="J5" s="60"/>
      <c r="K5" s="60" t="s">
        <v>88</v>
      </c>
      <c r="L5" s="60"/>
      <c r="M5" s="60"/>
    </row>
    <row r="6" spans="1:16" x14ac:dyDescent="0.3">
      <c r="A6" s="60" t="s">
        <v>89</v>
      </c>
      <c r="B6" s="60"/>
      <c r="C6" s="60"/>
      <c r="D6" s="60"/>
      <c r="E6" s="60"/>
      <c r="F6" s="60"/>
      <c r="G6" s="60"/>
      <c r="H6" s="68" t="s">
        <v>90</v>
      </c>
      <c r="I6" s="68"/>
      <c r="J6" s="68"/>
      <c r="K6" s="68"/>
      <c r="L6" s="68"/>
      <c r="M6" s="63"/>
    </row>
    <row r="7" spans="1:16" x14ac:dyDescent="0.3">
      <c r="A7" s="62" t="s">
        <v>101</v>
      </c>
      <c r="B7" s="68"/>
      <c r="C7" s="68"/>
      <c r="D7" s="63"/>
      <c r="E7" s="58">
        <v>55698.95</v>
      </c>
      <c r="F7" s="59"/>
      <c r="G7" s="62" t="s">
        <v>102</v>
      </c>
      <c r="H7" s="68"/>
      <c r="I7" s="68"/>
      <c r="J7" s="68"/>
      <c r="K7" s="63"/>
      <c r="L7" s="58">
        <f>E25+E42</f>
        <v>245098.31999999995</v>
      </c>
      <c r="M7" s="59"/>
    </row>
    <row r="8" spans="1:16" x14ac:dyDescent="0.3">
      <c r="A8" s="62" t="s">
        <v>104</v>
      </c>
      <c r="B8" s="68"/>
      <c r="C8" s="68"/>
      <c r="D8" s="63"/>
      <c r="E8" s="58">
        <v>-22742.265510000012</v>
      </c>
      <c r="F8" s="59"/>
      <c r="G8" s="62" t="s">
        <v>103</v>
      </c>
      <c r="H8" s="68"/>
      <c r="I8" s="68"/>
      <c r="J8" s="68"/>
      <c r="K8" s="63"/>
      <c r="L8" s="58">
        <f>G25+G42</f>
        <v>239501.81999999998</v>
      </c>
      <c r="M8" s="63"/>
    </row>
    <row r="9" spans="1:16" x14ac:dyDescent="0.3">
      <c r="A9" s="108" t="s">
        <v>108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6" x14ac:dyDescent="0.3">
      <c r="A10" s="95" t="s">
        <v>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1:16" ht="14.25" customHeight="1" x14ac:dyDescent="0.3">
      <c r="A11" s="62" t="s">
        <v>54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58">
        <v>-111495.44</v>
      </c>
      <c r="M11" s="59"/>
    </row>
    <row r="12" spans="1:16" ht="54.75" customHeight="1" x14ac:dyDescent="0.3">
      <c r="A12" s="98" t="s">
        <v>1</v>
      </c>
      <c r="B12" s="98"/>
      <c r="C12" s="99" t="s">
        <v>6</v>
      </c>
      <c r="D12" s="98"/>
      <c r="E12" s="99" t="s">
        <v>2</v>
      </c>
      <c r="F12" s="98"/>
      <c r="G12" s="99" t="s">
        <v>3</v>
      </c>
      <c r="H12" s="99"/>
      <c r="I12" s="83" t="s">
        <v>4</v>
      </c>
      <c r="J12" s="83"/>
      <c r="K12" s="84" t="s">
        <v>5</v>
      </c>
      <c r="L12" s="85"/>
      <c r="M12" s="2" t="s">
        <v>8</v>
      </c>
    </row>
    <row r="13" spans="1:16" x14ac:dyDescent="0.3">
      <c r="A13" s="60" t="s">
        <v>105</v>
      </c>
      <c r="B13" s="60"/>
      <c r="C13" s="58">
        <v>12920.4</v>
      </c>
      <c r="D13" s="59"/>
      <c r="E13" s="58">
        <v>10210.68</v>
      </c>
      <c r="F13" s="59"/>
      <c r="G13" s="58">
        <f>9380.24-45.65</f>
        <v>9334.59</v>
      </c>
      <c r="H13" s="59"/>
      <c r="I13" s="70">
        <f>'СОДЕРЖАНИЕ ЖИЛЬЯ'!I15</f>
        <v>8269.7048799999993</v>
      </c>
      <c r="J13" s="63"/>
      <c r="K13" s="61">
        <f>G13-I13</f>
        <v>1064.8851200000008</v>
      </c>
      <c r="L13" s="60"/>
      <c r="M13" s="39">
        <f>C13+E13-G13</f>
        <v>13796.490000000002</v>
      </c>
    </row>
    <row r="14" spans="1:16" x14ac:dyDescent="0.3">
      <c r="A14" s="60" t="s">
        <v>58</v>
      </c>
      <c r="B14" s="60"/>
      <c r="C14" s="58">
        <v>12921.4</v>
      </c>
      <c r="D14" s="59"/>
      <c r="E14" s="58">
        <v>10210.68</v>
      </c>
      <c r="F14" s="59"/>
      <c r="G14" s="58">
        <f>9874.41-0.49</f>
        <v>9873.92</v>
      </c>
      <c r="H14" s="59"/>
      <c r="I14" s="70">
        <f>'СОДЕРЖАНИЕ ЖИЛЬЯ'!I21</f>
        <v>8122.5044000000016</v>
      </c>
      <c r="J14" s="63"/>
      <c r="K14" s="61">
        <f t="shared" ref="K14" si="0">G14-I14</f>
        <v>1751.4155999999984</v>
      </c>
      <c r="L14" s="60"/>
      <c r="M14" s="39">
        <f t="shared" ref="M14:M23" si="1">C14+E14-G14</f>
        <v>13258.160000000002</v>
      </c>
    </row>
    <row r="15" spans="1:16" x14ac:dyDescent="0.3">
      <c r="A15" s="60" t="s">
        <v>59</v>
      </c>
      <c r="B15" s="60"/>
      <c r="C15" s="58">
        <v>12922.4</v>
      </c>
      <c r="D15" s="59"/>
      <c r="E15" s="58">
        <v>10210.68</v>
      </c>
      <c r="F15" s="59"/>
      <c r="G15" s="58">
        <f>8374.3+45.65</f>
        <v>8419.9499999999989</v>
      </c>
      <c r="H15" s="59"/>
      <c r="I15" s="70">
        <f>'СОДЕРЖАНИЕ ЖИЛЬЯ'!I28</f>
        <v>15878.053550000001</v>
      </c>
      <c r="J15" s="63"/>
      <c r="K15" s="61">
        <f t="shared" ref="K15:K24" si="2">G15-I15</f>
        <v>-7458.1035500000016</v>
      </c>
      <c r="L15" s="60"/>
      <c r="M15" s="39">
        <f t="shared" si="1"/>
        <v>14713.130000000003</v>
      </c>
      <c r="P15" s="42"/>
    </row>
    <row r="16" spans="1:16" x14ac:dyDescent="0.3">
      <c r="A16" s="60" t="s">
        <v>60</v>
      </c>
      <c r="B16" s="60"/>
      <c r="C16" s="58">
        <v>12923.4</v>
      </c>
      <c r="D16" s="59"/>
      <c r="E16" s="58">
        <v>10210.68</v>
      </c>
      <c r="F16" s="59"/>
      <c r="G16" s="58">
        <f>10279.43+0.48</f>
        <v>10279.91</v>
      </c>
      <c r="H16" s="59"/>
      <c r="I16" s="70">
        <f>'СОДЕРЖАНИЕ ЖИЛЬЯ'!I35</f>
        <v>12809.552180000001</v>
      </c>
      <c r="J16" s="63"/>
      <c r="K16" s="61">
        <f t="shared" si="2"/>
        <v>-2529.6421800000007</v>
      </c>
      <c r="L16" s="60"/>
      <c r="M16" s="39">
        <f t="shared" si="1"/>
        <v>12854.170000000002</v>
      </c>
    </row>
    <row r="17" spans="1:16" x14ac:dyDescent="0.3">
      <c r="A17" s="60" t="s">
        <v>61</v>
      </c>
      <c r="B17" s="60"/>
      <c r="C17" s="58">
        <v>12924.4</v>
      </c>
      <c r="D17" s="59"/>
      <c r="E17" s="58">
        <v>10210.68</v>
      </c>
      <c r="F17" s="59"/>
      <c r="G17" s="58">
        <v>8562.02</v>
      </c>
      <c r="H17" s="59"/>
      <c r="I17" s="70">
        <f>'СОДЕРЖАНИЕ ЖИЛЬЯ'!I40</f>
        <v>6845.0591300000015</v>
      </c>
      <c r="J17" s="63"/>
      <c r="K17" s="61">
        <f t="shared" si="2"/>
        <v>1716.960869999999</v>
      </c>
      <c r="L17" s="60"/>
      <c r="M17" s="39">
        <f t="shared" si="1"/>
        <v>14573.060000000001</v>
      </c>
    </row>
    <row r="18" spans="1:16" x14ac:dyDescent="0.3">
      <c r="A18" s="60" t="s">
        <v>62</v>
      </c>
      <c r="B18" s="60"/>
      <c r="C18" s="58">
        <v>12925.4</v>
      </c>
      <c r="D18" s="59"/>
      <c r="E18" s="58">
        <v>10210.68</v>
      </c>
      <c r="F18" s="59"/>
      <c r="G18" s="58">
        <v>8905.31</v>
      </c>
      <c r="H18" s="59"/>
      <c r="I18" s="70">
        <f>'СОДЕРЖАНИЕ ЖИЛЬЯ'!I45</f>
        <v>6951.0660800000014</v>
      </c>
      <c r="J18" s="63"/>
      <c r="K18" s="61">
        <f t="shared" si="2"/>
        <v>1954.2439199999981</v>
      </c>
      <c r="L18" s="60"/>
      <c r="M18" s="39">
        <f t="shared" si="1"/>
        <v>14230.770000000002</v>
      </c>
      <c r="O18" s="52"/>
    </row>
    <row r="19" spans="1:16" x14ac:dyDescent="0.3">
      <c r="A19" s="60" t="s">
        <v>63</v>
      </c>
      <c r="B19" s="60"/>
      <c r="C19" s="58">
        <v>12926.4</v>
      </c>
      <c r="D19" s="59"/>
      <c r="E19" s="58">
        <v>10211.68</v>
      </c>
      <c r="F19" s="59"/>
      <c r="G19" s="58">
        <v>10495.14</v>
      </c>
      <c r="H19" s="59"/>
      <c r="I19" s="70">
        <f>'СОДЕРЖАНИЕ ЖИЛЬЯ'!I51</f>
        <v>9870.3782700000011</v>
      </c>
      <c r="J19" s="63"/>
      <c r="K19" s="61">
        <f t="shared" ref="K19:K23" si="3">G19-I19</f>
        <v>624.76172999999835</v>
      </c>
      <c r="L19" s="60"/>
      <c r="M19" s="39">
        <f t="shared" si="1"/>
        <v>12642.940000000002</v>
      </c>
    </row>
    <row r="20" spans="1:16" x14ac:dyDescent="0.3">
      <c r="A20" s="60" t="s">
        <v>64</v>
      </c>
      <c r="B20" s="60"/>
      <c r="C20" s="58">
        <v>12927.4</v>
      </c>
      <c r="D20" s="59"/>
      <c r="E20" s="58">
        <v>10212.68</v>
      </c>
      <c r="F20" s="59"/>
      <c r="G20" s="58">
        <v>10591.8</v>
      </c>
      <c r="H20" s="59"/>
      <c r="I20" s="70">
        <f>'СОДЕРЖАНИЕ ЖИЛЬЯ'!I58</f>
        <v>10124.63608</v>
      </c>
      <c r="J20" s="63"/>
      <c r="K20" s="61">
        <f t="shared" si="3"/>
        <v>467.16391999999905</v>
      </c>
      <c r="L20" s="60"/>
      <c r="M20" s="39">
        <f t="shared" si="1"/>
        <v>12548.280000000002</v>
      </c>
    </row>
    <row r="21" spans="1:16" x14ac:dyDescent="0.3">
      <c r="A21" s="60" t="s">
        <v>65</v>
      </c>
      <c r="B21" s="60"/>
      <c r="C21" s="58">
        <v>12928.4</v>
      </c>
      <c r="D21" s="59"/>
      <c r="E21" s="58">
        <v>10213.68</v>
      </c>
      <c r="F21" s="59"/>
      <c r="G21" s="58">
        <v>8398.1200000000008</v>
      </c>
      <c r="H21" s="59"/>
      <c r="I21" s="70">
        <f>'СОДЕРЖАНИЕ ЖИЛЬЯ'!I64</f>
        <v>12327.162960000001</v>
      </c>
      <c r="J21" s="63"/>
      <c r="K21" s="61">
        <f t="shared" si="3"/>
        <v>-3929.0429600000007</v>
      </c>
      <c r="L21" s="60"/>
      <c r="M21" s="39">
        <f t="shared" si="1"/>
        <v>14743.960000000001</v>
      </c>
    </row>
    <row r="22" spans="1:16" x14ac:dyDescent="0.3">
      <c r="A22" s="60" t="s">
        <v>66</v>
      </c>
      <c r="B22" s="60"/>
      <c r="C22" s="58">
        <v>12929.4</v>
      </c>
      <c r="D22" s="59"/>
      <c r="E22" s="58">
        <v>10214.68</v>
      </c>
      <c r="F22" s="59"/>
      <c r="G22" s="58">
        <v>11845.86</v>
      </c>
      <c r="H22" s="59"/>
      <c r="I22" s="70">
        <f>'СОДЕРЖАНИЕ ЖИЛЬЯ'!I73</f>
        <v>14799.098870000002</v>
      </c>
      <c r="J22" s="63"/>
      <c r="K22" s="61">
        <f t="shared" si="3"/>
        <v>-2953.238870000001</v>
      </c>
      <c r="L22" s="60"/>
      <c r="M22" s="39">
        <f t="shared" si="1"/>
        <v>11298.220000000001</v>
      </c>
    </row>
    <row r="23" spans="1:16" x14ac:dyDescent="0.3">
      <c r="A23" s="60" t="s">
        <v>67</v>
      </c>
      <c r="B23" s="60"/>
      <c r="C23" s="58">
        <v>12930.4</v>
      </c>
      <c r="D23" s="59"/>
      <c r="E23" s="58">
        <v>10215.68</v>
      </c>
      <c r="F23" s="59"/>
      <c r="G23" s="58">
        <v>11672.7</v>
      </c>
      <c r="H23" s="59"/>
      <c r="I23" s="70">
        <f>'СОДЕРЖАНИЕ ЖИЛЬЯ'!I80</f>
        <v>8729.6905300000017</v>
      </c>
      <c r="J23" s="88"/>
      <c r="K23" s="61">
        <f t="shared" si="3"/>
        <v>2943.0094699999991</v>
      </c>
      <c r="L23" s="60"/>
      <c r="M23" s="39">
        <f t="shared" si="1"/>
        <v>11473.380000000001</v>
      </c>
    </row>
    <row r="24" spans="1:16" x14ac:dyDescent="0.3">
      <c r="A24" s="60" t="s">
        <v>7</v>
      </c>
      <c r="B24" s="60"/>
      <c r="C24" s="58">
        <v>12931.4</v>
      </c>
      <c r="D24" s="59"/>
      <c r="E24" s="58">
        <v>10216.68</v>
      </c>
      <c r="F24" s="59"/>
      <c r="G24" s="58">
        <v>11371.61</v>
      </c>
      <c r="H24" s="59"/>
      <c r="I24" s="70">
        <f>'СОДЕРЖАНИЕ ЖИЛЬЯ'!I89</f>
        <v>30817.729820000004</v>
      </c>
      <c r="J24" s="63"/>
      <c r="K24" s="61">
        <f t="shared" si="2"/>
        <v>-19446.119820000004</v>
      </c>
      <c r="L24" s="60"/>
      <c r="M24" s="39">
        <v>15723.46</v>
      </c>
    </row>
    <row r="25" spans="1:16" x14ac:dyDescent="0.3">
      <c r="A25" s="82" t="s">
        <v>9</v>
      </c>
      <c r="B25" s="82"/>
      <c r="C25" s="86"/>
      <c r="D25" s="87"/>
      <c r="E25" s="81">
        <f>SUM(E13:E24)</f>
        <v>122549.15999999997</v>
      </c>
      <c r="F25" s="82"/>
      <c r="G25" s="81">
        <f>SUM(G13:G24)</f>
        <v>119750.93</v>
      </c>
      <c r="H25" s="81"/>
      <c r="I25" s="81">
        <f>SUM(I13:I24)</f>
        <v>145544.63675000001</v>
      </c>
      <c r="J25" s="81"/>
      <c r="K25" s="81">
        <f>SUM(K13:K24)</f>
        <v>-25793.706750000012</v>
      </c>
      <c r="L25" s="82"/>
      <c r="M25" s="3">
        <f>M24</f>
        <v>15723.46</v>
      </c>
    </row>
    <row r="26" spans="1:16" x14ac:dyDescent="0.3">
      <c r="A26" s="62" t="s">
        <v>57</v>
      </c>
      <c r="B26" s="68"/>
      <c r="C26" s="68"/>
      <c r="D26" s="68"/>
      <c r="E26" s="68"/>
      <c r="F26" s="68"/>
      <c r="G26" s="68"/>
      <c r="H26" s="68"/>
      <c r="I26" s="68"/>
      <c r="J26" s="68"/>
      <c r="K26" s="61">
        <f>L11+K25</f>
        <v>-137289.14675000001</v>
      </c>
      <c r="L26" s="61"/>
      <c r="M26" s="38"/>
    </row>
    <row r="27" spans="1:16" x14ac:dyDescent="0.3">
      <c r="A27" s="95" t="s">
        <v>10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7"/>
    </row>
    <row r="28" spans="1:16" x14ac:dyDescent="0.3">
      <c r="A28" s="62" t="s">
        <v>55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58">
        <v>88753.17</v>
      </c>
      <c r="M28" s="59"/>
    </row>
    <row r="29" spans="1:16" ht="53.25" customHeight="1" x14ac:dyDescent="0.3">
      <c r="A29" s="98" t="s">
        <v>1</v>
      </c>
      <c r="B29" s="98"/>
      <c r="C29" s="99" t="s">
        <v>6</v>
      </c>
      <c r="D29" s="98"/>
      <c r="E29" s="99" t="s">
        <v>2</v>
      </c>
      <c r="F29" s="98"/>
      <c r="G29" s="99" t="s">
        <v>3</v>
      </c>
      <c r="H29" s="99"/>
      <c r="I29" s="83" t="s">
        <v>4</v>
      </c>
      <c r="J29" s="83"/>
      <c r="K29" s="84" t="s">
        <v>5</v>
      </c>
      <c r="L29" s="85"/>
      <c r="M29" s="2" t="s">
        <v>8</v>
      </c>
      <c r="P29" s="42"/>
    </row>
    <row r="30" spans="1:16" x14ac:dyDescent="0.3">
      <c r="A30" s="60" t="s">
        <v>105</v>
      </c>
      <c r="B30" s="60"/>
      <c r="C30" s="58">
        <v>12920.4</v>
      </c>
      <c r="D30" s="59"/>
      <c r="E30" s="58">
        <v>10210.68</v>
      </c>
      <c r="F30" s="59"/>
      <c r="G30" s="58">
        <v>9334.59</v>
      </c>
      <c r="H30" s="59"/>
      <c r="I30" s="61">
        <v>0</v>
      </c>
      <c r="J30" s="61"/>
      <c r="K30" s="61">
        <f>G30-I30</f>
        <v>9334.59</v>
      </c>
      <c r="L30" s="60"/>
      <c r="M30" s="39">
        <f>C30+E30-G30</f>
        <v>13796.490000000002</v>
      </c>
    </row>
    <row r="31" spans="1:16" x14ac:dyDescent="0.3">
      <c r="A31" s="60" t="s">
        <v>58</v>
      </c>
      <c r="B31" s="60"/>
      <c r="C31" s="58">
        <v>12921.4</v>
      </c>
      <c r="D31" s="59"/>
      <c r="E31" s="58">
        <v>10210.68</v>
      </c>
      <c r="F31" s="59"/>
      <c r="G31" s="58">
        <f>9874.41-0.49</f>
        <v>9873.92</v>
      </c>
      <c r="H31" s="59"/>
      <c r="I31" s="61">
        <v>0</v>
      </c>
      <c r="J31" s="61"/>
      <c r="K31" s="61">
        <f t="shared" ref="K31:K35" si="4">G31-I31</f>
        <v>9873.92</v>
      </c>
      <c r="L31" s="60"/>
      <c r="M31" s="39">
        <f t="shared" ref="M31:M40" si="5">C31+E31-G31</f>
        <v>13258.160000000002</v>
      </c>
    </row>
    <row r="32" spans="1:16" x14ac:dyDescent="0.3">
      <c r="A32" s="60" t="s">
        <v>59</v>
      </c>
      <c r="B32" s="60"/>
      <c r="C32" s="58">
        <v>12922.4</v>
      </c>
      <c r="D32" s="59"/>
      <c r="E32" s="58">
        <v>10210.68</v>
      </c>
      <c r="F32" s="59"/>
      <c r="G32" s="58">
        <f>8374.3+45.65</f>
        <v>8419.9499999999989</v>
      </c>
      <c r="H32" s="59"/>
      <c r="I32" s="61">
        <f>'РЕМОНТ ЖИЛЬЯ'!I12</f>
        <v>9974</v>
      </c>
      <c r="J32" s="61"/>
      <c r="K32" s="61">
        <f t="shared" si="4"/>
        <v>-1554.0500000000011</v>
      </c>
      <c r="L32" s="60"/>
      <c r="M32" s="39">
        <f t="shared" si="5"/>
        <v>14713.130000000003</v>
      </c>
    </row>
    <row r="33" spans="1:16" x14ac:dyDescent="0.3">
      <c r="A33" s="60" t="s">
        <v>60</v>
      </c>
      <c r="B33" s="60"/>
      <c r="C33" s="58">
        <v>12923.4</v>
      </c>
      <c r="D33" s="59"/>
      <c r="E33" s="58">
        <v>10210.68</v>
      </c>
      <c r="F33" s="59"/>
      <c r="G33" s="58">
        <f>10279.41+0.49</f>
        <v>10279.9</v>
      </c>
      <c r="H33" s="59"/>
      <c r="I33" s="61">
        <v>0</v>
      </c>
      <c r="J33" s="61"/>
      <c r="K33" s="61">
        <f t="shared" si="4"/>
        <v>10279.9</v>
      </c>
      <c r="L33" s="60"/>
      <c r="M33" s="39">
        <f t="shared" si="5"/>
        <v>12854.180000000002</v>
      </c>
    </row>
    <row r="34" spans="1:16" x14ac:dyDescent="0.3">
      <c r="A34" s="60" t="s">
        <v>61</v>
      </c>
      <c r="B34" s="60"/>
      <c r="C34" s="58">
        <v>12924.4</v>
      </c>
      <c r="D34" s="59"/>
      <c r="E34" s="58">
        <v>10210.68</v>
      </c>
      <c r="F34" s="59"/>
      <c r="G34" s="58">
        <v>8562.0300000000007</v>
      </c>
      <c r="H34" s="59"/>
      <c r="I34" s="61">
        <v>0</v>
      </c>
      <c r="J34" s="61"/>
      <c r="K34" s="61">
        <f t="shared" si="4"/>
        <v>8562.0300000000007</v>
      </c>
      <c r="L34" s="60"/>
      <c r="M34" s="39">
        <f t="shared" si="5"/>
        <v>14573.050000000001</v>
      </c>
    </row>
    <row r="35" spans="1:16" x14ac:dyDescent="0.3">
      <c r="A35" s="60" t="s">
        <v>62</v>
      </c>
      <c r="B35" s="60"/>
      <c r="C35" s="58">
        <v>12925.4</v>
      </c>
      <c r="D35" s="59"/>
      <c r="E35" s="58">
        <v>10210.68</v>
      </c>
      <c r="F35" s="59"/>
      <c r="G35" s="58">
        <v>8905.31</v>
      </c>
      <c r="H35" s="59"/>
      <c r="I35" s="61">
        <f>'РЕМОНТ ЖИЛЬЯ'!I14</f>
        <v>1500</v>
      </c>
      <c r="J35" s="61"/>
      <c r="K35" s="61">
        <f t="shared" si="4"/>
        <v>7405.3099999999995</v>
      </c>
      <c r="L35" s="60"/>
      <c r="M35" s="39">
        <f t="shared" si="5"/>
        <v>14230.770000000002</v>
      </c>
    </row>
    <row r="36" spans="1:16" x14ac:dyDescent="0.3">
      <c r="A36" s="60" t="s">
        <v>63</v>
      </c>
      <c r="B36" s="60"/>
      <c r="C36" s="58">
        <v>12926.4</v>
      </c>
      <c r="D36" s="59"/>
      <c r="E36" s="58">
        <v>10211.68</v>
      </c>
      <c r="F36" s="59"/>
      <c r="G36" s="58">
        <v>10495.12</v>
      </c>
      <c r="H36" s="59"/>
      <c r="I36" s="61">
        <v>0</v>
      </c>
      <c r="J36" s="61"/>
      <c r="K36" s="61">
        <f t="shared" ref="K36:K41" si="6">G36-I36</f>
        <v>10495.12</v>
      </c>
      <c r="L36" s="60"/>
      <c r="M36" s="39">
        <f t="shared" si="5"/>
        <v>12642.960000000001</v>
      </c>
    </row>
    <row r="37" spans="1:16" x14ac:dyDescent="0.3">
      <c r="A37" s="60" t="s">
        <v>64</v>
      </c>
      <c r="B37" s="60"/>
      <c r="C37" s="58">
        <v>12927.4</v>
      </c>
      <c r="D37" s="59"/>
      <c r="E37" s="58">
        <v>10212.68</v>
      </c>
      <c r="F37" s="59"/>
      <c r="G37" s="58">
        <v>10591.82</v>
      </c>
      <c r="H37" s="59"/>
      <c r="I37" s="61">
        <v>0</v>
      </c>
      <c r="J37" s="61"/>
      <c r="K37" s="61">
        <f t="shared" si="6"/>
        <v>10591.82</v>
      </c>
      <c r="L37" s="60"/>
      <c r="M37" s="39">
        <f t="shared" si="5"/>
        <v>12548.260000000002</v>
      </c>
    </row>
    <row r="38" spans="1:16" x14ac:dyDescent="0.3">
      <c r="A38" s="60" t="s">
        <v>65</v>
      </c>
      <c r="B38" s="60"/>
      <c r="C38" s="58">
        <v>12928.4</v>
      </c>
      <c r="D38" s="59"/>
      <c r="E38" s="58">
        <v>10213.68</v>
      </c>
      <c r="F38" s="59"/>
      <c r="G38" s="58">
        <v>8398.11</v>
      </c>
      <c r="H38" s="59"/>
      <c r="I38" s="61">
        <v>0</v>
      </c>
      <c r="J38" s="61"/>
      <c r="K38" s="61">
        <f t="shared" si="6"/>
        <v>8398.11</v>
      </c>
      <c r="L38" s="60"/>
      <c r="M38" s="39">
        <f t="shared" si="5"/>
        <v>14743.970000000001</v>
      </c>
    </row>
    <row r="39" spans="1:16" x14ac:dyDescent="0.3">
      <c r="A39" s="60" t="s">
        <v>66</v>
      </c>
      <c r="B39" s="60"/>
      <c r="C39" s="58">
        <v>12929.4</v>
      </c>
      <c r="D39" s="59"/>
      <c r="E39" s="58">
        <v>10214.68</v>
      </c>
      <c r="F39" s="59"/>
      <c r="G39" s="58">
        <v>11845.86</v>
      </c>
      <c r="H39" s="59"/>
      <c r="I39" s="61">
        <v>0</v>
      </c>
      <c r="J39" s="61"/>
      <c r="K39" s="61">
        <f t="shared" si="6"/>
        <v>11845.86</v>
      </c>
      <c r="L39" s="60"/>
      <c r="M39" s="39">
        <f t="shared" si="5"/>
        <v>11298.220000000001</v>
      </c>
    </row>
    <row r="40" spans="1:16" x14ac:dyDescent="0.3">
      <c r="A40" s="60" t="s">
        <v>67</v>
      </c>
      <c r="B40" s="60"/>
      <c r="C40" s="58">
        <v>12930.4</v>
      </c>
      <c r="D40" s="59"/>
      <c r="E40" s="58">
        <v>10215.68</v>
      </c>
      <c r="F40" s="59"/>
      <c r="G40" s="58">
        <v>11672.65</v>
      </c>
      <c r="H40" s="59"/>
      <c r="I40" s="58">
        <v>0</v>
      </c>
      <c r="J40" s="59"/>
      <c r="K40" s="61">
        <f t="shared" si="6"/>
        <v>11672.65</v>
      </c>
      <c r="L40" s="60"/>
      <c r="M40" s="39">
        <f t="shared" si="5"/>
        <v>11473.430000000002</v>
      </c>
    </row>
    <row r="41" spans="1:16" x14ac:dyDescent="0.3">
      <c r="A41" s="60" t="s">
        <v>7</v>
      </c>
      <c r="B41" s="60"/>
      <c r="C41" s="58">
        <v>12931.4</v>
      </c>
      <c r="D41" s="59"/>
      <c r="E41" s="58">
        <v>10216.68</v>
      </c>
      <c r="F41" s="59"/>
      <c r="G41" s="58">
        <v>11371.63</v>
      </c>
      <c r="H41" s="59"/>
      <c r="I41" s="61">
        <f>'РЕМОНТ ЖИЛЬЯ'!I19</f>
        <v>26673</v>
      </c>
      <c r="J41" s="61"/>
      <c r="K41" s="61">
        <f t="shared" si="6"/>
        <v>-15301.37</v>
      </c>
      <c r="L41" s="60"/>
      <c r="M41" s="39">
        <v>15723.49</v>
      </c>
    </row>
    <row r="42" spans="1:16" x14ac:dyDescent="0.3">
      <c r="A42" s="82" t="s">
        <v>9</v>
      </c>
      <c r="B42" s="82"/>
      <c r="C42" s="86"/>
      <c r="D42" s="87"/>
      <c r="E42" s="81">
        <f>SUM(E30:E41)</f>
        <v>122549.15999999997</v>
      </c>
      <c r="F42" s="82"/>
      <c r="G42" s="81">
        <f>SUM(G30:G41)</f>
        <v>119750.88999999998</v>
      </c>
      <c r="H42" s="81"/>
      <c r="I42" s="81">
        <f>SUM(I30:I41)</f>
        <v>38147</v>
      </c>
      <c r="J42" s="81"/>
      <c r="K42" s="81">
        <f>SUM(K30:K41)</f>
        <v>81603.89</v>
      </c>
      <c r="L42" s="81"/>
      <c r="M42" s="3">
        <f>M41</f>
        <v>15723.49</v>
      </c>
      <c r="O42" s="42"/>
      <c r="P42" s="42"/>
    </row>
    <row r="43" spans="1:16" x14ac:dyDescent="0.3">
      <c r="A43" s="62" t="s">
        <v>106</v>
      </c>
      <c r="B43" s="68"/>
      <c r="C43" s="68"/>
      <c r="D43" s="68"/>
      <c r="E43" s="68"/>
      <c r="F43" s="68"/>
      <c r="G43" s="68"/>
      <c r="H43" s="68"/>
      <c r="I43" s="68"/>
      <c r="J43" s="68"/>
      <c r="K43" s="71">
        <f>L28+K42</f>
        <v>170357.06</v>
      </c>
      <c r="L43" s="72"/>
      <c r="M43" s="3"/>
    </row>
    <row r="44" spans="1:16" x14ac:dyDescent="0.3">
      <c r="A44" s="107" t="s">
        <v>11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P44" s="42"/>
    </row>
    <row r="45" spans="1:16" ht="52.5" customHeight="1" x14ac:dyDescent="0.3">
      <c r="A45" s="108" t="s">
        <v>12</v>
      </c>
      <c r="B45" s="109"/>
      <c r="C45" s="109"/>
      <c r="D45" s="110"/>
      <c r="E45" s="89" t="s">
        <v>6</v>
      </c>
      <c r="F45" s="90"/>
      <c r="G45" s="90"/>
      <c r="H45" s="91"/>
      <c r="I45" s="99" t="s">
        <v>2</v>
      </c>
      <c r="J45" s="98"/>
      <c r="K45" s="99" t="s">
        <v>3</v>
      </c>
      <c r="L45" s="99"/>
      <c r="M45" s="2" t="s">
        <v>8</v>
      </c>
      <c r="O45" s="42"/>
    </row>
    <row r="46" spans="1:16" ht="17.25" customHeight="1" x14ac:dyDescent="0.3">
      <c r="A46" s="100" t="s">
        <v>13</v>
      </c>
      <c r="B46" s="101"/>
      <c r="C46" s="101"/>
      <c r="D46" s="102"/>
      <c r="E46" s="92">
        <v>177.82</v>
      </c>
      <c r="F46" s="93"/>
      <c r="G46" s="93"/>
      <c r="H46" s="94"/>
      <c r="I46" s="111">
        <f>146.35+146.35+146.35+146.35+146.35+146.35+146.35+146.35+146.35+146.35+747.86+207.32</f>
        <v>2418.6799999999998</v>
      </c>
      <c r="J46" s="112"/>
      <c r="K46" s="103">
        <f>E46+I46-M46</f>
        <v>2277.89</v>
      </c>
      <c r="L46" s="104"/>
      <c r="M46" s="53">
        <v>318.61</v>
      </c>
    </row>
    <row r="47" spans="1:16" x14ac:dyDescent="0.3">
      <c r="A47" s="62" t="s">
        <v>14</v>
      </c>
      <c r="B47" s="68"/>
      <c r="C47" s="68"/>
      <c r="D47" s="63"/>
      <c r="E47" s="58">
        <v>79.27</v>
      </c>
      <c r="F47" s="69"/>
      <c r="G47" s="69"/>
      <c r="H47" s="59"/>
      <c r="I47" s="62">
        <f>65.13*12</f>
        <v>781.56</v>
      </c>
      <c r="J47" s="63"/>
      <c r="K47" s="58">
        <f>E47+I47-M47</f>
        <v>761.93999999999994</v>
      </c>
      <c r="L47" s="63"/>
      <c r="M47" s="4">
        <v>98.89</v>
      </c>
    </row>
    <row r="48" spans="1:16" x14ac:dyDescent="0.3">
      <c r="A48" s="62" t="s">
        <v>15</v>
      </c>
      <c r="B48" s="68"/>
      <c r="C48" s="68"/>
      <c r="D48" s="63"/>
      <c r="E48" s="58">
        <v>1253.29</v>
      </c>
      <c r="F48" s="69"/>
      <c r="G48" s="69"/>
      <c r="H48" s="59"/>
      <c r="I48" s="70">
        <f>2383.89+2383.89+2383.89+2383.89+2383.89+2383.89+1515.13+5386.08+1976.01</f>
        <v>23180.559999999994</v>
      </c>
      <c r="J48" s="63"/>
      <c r="K48" s="58">
        <f>E48+I48-M48</f>
        <v>21496.879999999994</v>
      </c>
      <c r="L48" s="63"/>
      <c r="M48" s="4">
        <v>2936.97</v>
      </c>
    </row>
    <row r="49" spans="1:15" ht="24.75" customHeight="1" x14ac:dyDescent="0.3">
      <c r="A49" s="75" t="s">
        <v>97</v>
      </c>
      <c r="B49" s="68"/>
      <c r="C49" s="68"/>
      <c r="D49" s="63"/>
      <c r="E49" s="58">
        <v>2981.09</v>
      </c>
      <c r="F49" s="69"/>
      <c r="G49" s="69"/>
      <c r="H49" s="59"/>
      <c r="I49" s="62">
        <f>278.52+3898.97+9175.58+9888.99+3581.89+943.44</f>
        <v>27767.389999999996</v>
      </c>
      <c r="J49" s="63"/>
      <c r="K49" s="58">
        <f>E49+I49-M49</f>
        <v>27652.959999999995</v>
      </c>
      <c r="L49" s="63"/>
      <c r="M49" s="4">
        <v>3095.52</v>
      </c>
    </row>
    <row r="50" spans="1:15" x14ac:dyDescent="0.3">
      <c r="A50" s="76"/>
      <c r="B50" s="77"/>
      <c r="C50" s="77"/>
      <c r="D50" s="74"/>
      <c r="E50" s="73"/>
      <c r="F50" s="113"/>
      <c r="G50" s="113"/>
      <c r="H50" s="114"/>
      <c r="I50" s="73">
        <f>SUM(I46:I49)</f>
        <v>54148.189999999988</v>
      </c>
      <c r="J50" s="74"/>
      <c r="K50" s="76">
        <f>SUM(K46:K49)</f>
        <v>52189.669999999984</v>
      </c>
      <c r="L50" s="74"/>
      <c r="M50" s="3">
        <f>SUM(M46:M49)</f>
        <v>6449.99</v>
      </c>
    </row>
    <row r="51" spans="1:15" x14ac:dyDescent="0.3">
      <c r="A51" s="43"/>
      <c r="B51" s="44"/>
      <c r="C51" s="44"/>
      <c r="D51" s="45"/>
      <c r="E51" s="46"/>
      <c r="F51" s="47"/>
      <c r="G51" s="47"/>
      <c r="H51" s="38"/>
      <c r="I51" s="46"/>
      <c r="J51" s="45"/>
      <c r="K51" s="43"/>
      <c r="L51" s="45"/>
      <c r="M51" s="38"/>
    </row>
    <row r="52" spans="1:15" x14ac:dyDescent="0.3">
      <c r="A52" s="64" t="s">
        <v>16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48">
        <v>6289.42</v>
      </c>
    </row>
    <row r="53" spans="1:15" x14ac:dyDescent="0.3">
      <c r="A53" s="78" t="s">
        <v>92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80"/>
      <c r="M53" s="48">
        <v>3712.48</v>
      </c>
    </row>
    <row r="54" spans="1:15" ht="15.75" customHeight="1" x14ac:dyDescent="0.3">
      <c r="A54" s="78" t="s">
        <v>93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80"/>
      <c r="M54" s="50">
        <v>181.41</v>
      </c>
    </row>
    <row r="55" spans="1:15" x14ac:dyDescent="0.3">
      <c r="A55" s="78" t="s">
        <v>94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80"/>
      <c r="M55" s="48">
        <v>22.73</v>
      </c>
    </row>
    <row r="56" spans="1:15" x14ac:dyDescent="0.3">
      <c r="A56" s="78" t="s">
        <v>95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80"/>
      <c r="M56" s="48">
        <f>1424.31+6816.92</f>
        <v>8241.23</v>
      </c>
    </row>
    <row r="57" spans="1:15" x14ac:dyDescent="0.3">
      <c r="A57" s="65" t="s">
        <v>96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7"/>
      <c r="M57" s="48">
        <f>2136.48+8989.76</f>
        <v>11126.24</v>
      </c>
    </row>
    <row r="58" spans="1:15" x14ac:dyDescent="0.3">
      <c r="A58" s="78" t="s">
        <v>56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80"/>
      <c r="M58" s="51">
        <v>202.05</v>
      </c>
    </row>
    <row r="59" spans="1:15" x14ac:dyDescent="0.3">
      <c r="A59" s="64" t="s">
        <v>107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51">
        <f>SUM(M52:M58)</f>
        <v>29775.559999999994</v>
      </c>
    </row>
    <row r="60" spans="1:15" x14ac:dyDescent="0.3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7"/>
      <c r="O60" s="42"/>
    </row>
    <row r="61" spans="1:15" ht="15.6" x14ac:dyDescent="0.3">
      <c r="A61" s="64" t="s">
        <v>134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">
        <f>M25+M42+M46+M47+M48+M49+M52+M53+M54+M55+M56+M57+M58</f>
        <v>67672.500000000015</v>
      </c>
    </row>
    <row r="62" spans="1:15" x14ac:dyDescent="0.3">
      <c r="A62" s="64" t="s">
        <v>17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36">
        <f>K26+K43</f>
        <v>33067.913249999983</v>
      </c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3">
      <c r="A65" s="105"/>
      <c r="B65" s="105"/>
      <c r="C65" s="105"/>
      <c r="D65" s="105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3">
      <c r="A66" s="105"/>
      <c r="B66" s="105"/>
      <c r="C66" s="105"/>
      <c r="D66" s="105"/>
      <c r="K66" s="106"/>
      <c r="L66" s="106"/>
      <c r="M66" s="106"/>
    </row>
  </sheetData>
  <mergeCells count="240">
    <mergeCell ref="A16:B16"/>
    <mergeCell ref="A17:B17"/>
    <mergeCell ref="L11:M11"/>
    <mergeCell ref="A11:K11"/>
    <mergeCell ref="A8:D8"/>
    <mergeCell ref="E8:F8"/>
    <mergeCell ref="G8:K8"/>
    <mergeCell ref="A7:D7"/>
    <mergeCell ref="E7:F7"/>
    <mergeCell ref="G7:K7"/>
    <mergeCell ref="A12:B12"/>
    <mergeCell ref="C12:D12"/>
    <mergeCell ref="E13:F13"/>
    <mergeCell ref="E14:F14"/>
    <mergeCell ref="E15:F15"/>
    <mergeCell ref="E16:F16"/>
    <mergeCell ref="E17:F17"/>
    <mergeCell ref="K13:L13"/>
    <mergeCell ref="K14:L14"/>
    <mergeCell ref="K15:L15"/>
    <mergeCell ref="K16:L16"/>
    <mergeCell ref="K17:L17"/>
    <mergeCell ref="G13:H13"/>
    <mergeCell ref="G14:H14"/>
    <mergeCell ref="E12:F12"/>
    <mergeCell ref="G12:H12"/>
    <mergeCell ref="L7:M7"/>
    <mergeCell ref="L8:M8"/>
    <mergeCell ref="A9:M9"/>
    <mergeCell ref="A10:M10"/>
    <mergeCell ref="K12:L12"/>
    <mergeCell ref="I12:J12"/>
    <mergeCell ref="A15:B15"/>
    <mergeCell ref="G15:H15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C20:D20"/>
    <mergeCell ref="A46:D46"/>
    <mergeCell ref="K46:L46"/>
    <mergeCell ref="A13:B13"/>
    <mergeCell ref="A14:B14"/>
    <mergeCell ref="A65:D65"/>
    <mergeCell ref="A66:D66"/>
    <mergeCell ref="K66:M66"/>
    <mergeCell ref="K42:L42"/>
    <mergeCell ref="A44:M44"/>
    <mergeCell ref="A42:B42"/>
    <mergeCell ref="C42:D42"/>
    <mergeCell ref="E42:F42"/>
    <mergeCell ref="G42:H42"/>
    <mergeCell ref="I42:J42"/>
    <mergeCell ref="K45:L45"/>
    <mergeCell ref="K47:L47"/>
    <mergeCell ref="K50:L50"/>
    <mergeCell ref="A45:D45"/>
    <mergeCell ref="A58:L58"/>
    <mergeCell ref="I46:J46"/>
    <mergeCell ref="E50:H50"/>
    <mergeCell ref="I45:J45"/>
    <mergeCell ref="A60:M60"/>
    <mergeCell ref="E18:F18"/>
    <mergeCell ref="G25:H25"/>
    <mergeCell ref="A61:L61"/>
    <mergeCell ref="A62:L62"/>
    <mergeCell ref="A22:B22"/>
    <mergeCell ref="A24:B24"/>
    <mergeCell ref="C13:D13"/>
    <mergeCell ref="C14:D14"/>
    <mergeCell ref="C15:D15"/>
    <mergeCell ref="E45:H45"/>
    <mergeCell ref="E46:H46"/>
    <mergeCell ref="E47:H47"/>
    <mergeCell ref="E49:H49"/>
    <mergeCell ref="A27:M27"/>
    <mergeCell ref="A28:K28"/>
    <mergeCell ref="L28:M28"/>
    <mergeCell ref="A29:B29"/>
    <mergeCell ref="C29:D29"/>
    <mergeCell ref="E29:F29"/>
    <mergeCell ref="G29:H29"/>
    <mergeCell ref="C16:D16"/>
    <mergeCell ref="C17:D17"/>
    <mergeCell ref="C18:D18"/>
    <mergeCell ref="C19:D19"/>
    <mergeCell ref="K29:L29"/>
    <mergeCell ref="I22:J22"/>
    <mergeCell ref="I24:J24"/>
    <mergeCell ref="G18:H18"/>
    <mergeCell ref="G19:H19"/>
    <mergeCell ref="G20:H20"/>
    <mergeCell ref="G21:H21"/>
    <mergeCell ref="A25:B25"/>
    <mergeCell ref="C25:D25"/>
    <mergeCell ref="E25:F25"/>
    <mergeCell ref="A18:B18"/>
    <mergeCell ref="A19:B19"/>
    <mergeCell ref="A20:B20"/>
    <mergeCell ref="A21:B21"/>
    <mergeCell ref="I25:J25"/>
    <mergeCell ref="C21:D21"/>
    <mergeCell ref="C22:D22"/>
    <mergeCell ref="C24:D24"/>
    <mergeCell ref="G22:H22"/>
    <mergeCell ref="A23:B23"/>
    <mergeCell ref="C23:D23"/>
    <mergeCell ref="E23:F23"/>
    <mergeCell ref="G23:H23"/>
    <mergeCell ref="I23:J23"/>
    <mergeCell ref="I19:J19"/>
    <mergeCell ref="I20:J20"/>
    <mergeCell ref="I21:J21"/>
    <mergeCell ref="E19:F19"/>
    <mergeCell ref="E20:F20"/>
    <mergeCell ref="E21:F21"/>
    <mergeCell ref="E22:F22"/>
    <mergeCell ref="E24:F24"/>
    <mergeCell ref="I29:J29"/>
    <mergeCell ref="G16:H16"/>
    <mergeCell ref="G17:H17"/>
    <mergeCell ref="I13:J13"/>
    <mergeCell ref="I14:J14"/>
    <mergeCell ref="I15:J15"/>
    <mergeCell ref="I16:J16"/>
    <mergeCell ref="I17:J17"/>
    <mergeCell ref="G31:H31"/>
    <mergeCell ref="K24:L24"/>
    <mergeCell ref="G24:H24"/>
    <mergeCell ref="A26:J26"/>
    <mergeCell ref="K26:L26"/>
    <mergeCell ref="K25:L25"/>
    <mergeCell ref="K30:L30"/>
    <mergeCell ref="K31:L31"/>
    <mergeCell ref="K23:L23"/>
    <mergeCell ref="G30:H30"/>
    <mergeCell ref="K18:L18"/>
    <mergeCell ref="K19:L19"/>
    <mergeCell ref="K20:L20"/>
    <mergeCell ref="K21:L21"/>
    <mergeCell ref="K22:L22"/>
    <mergeCell ref="C30:D30"/>
    <mergeCell ref="I18:J18"/>
    <mergeCell ref="A30:B30"/>
    <mergeCell ref="A31:B31"/>
    <mergeCell ref="A32:B32"/>
    <mergeCell ref="A33:B33"/>
    <mergeCell ref="E30:F30"/>
    <mergeCell ref="E31:F31"/>
    <mergeCell ref="E32:F32"/>
    <mergeCell ref="E33:F33"/>
    <mergeCell ref="I30:J30"/>
    <mergeCell ref="I31:J31"/>
    <mergeCell ref="I32:J32"/>
    <mergeCell ref="I33:J33"/>
    <mergeCell ref="G32:H32"/>
    <mergeCell ref="G33:H33"/>
    <mergeCell ref="K32:L32"/>
    <mergeCell ref="K33:L33"/>
    <mergeCell ref="C32:D32"/>
    <mergeCell ref="C33:D33"/>
    <mergeCell ref="C34:D34"/>
    <mergeCell ref="C35:D35"/>
    <mergeCell ref="C36:D36"/>
    <mergeCell ref="C37:D37"/>
    <mergeCell ref="C38:D38"/>
    <mergeCell ref="I39:J39"/>
    <mergeCell ref="I41:J41"/>
    <mergeCell ref="K34:L34"/>
    <mergeCell ref="K35:L35"/>
    <mergeCell ref="K36:L36"/>
    <mergeCell ref="K37:L37"/>
    <mergeCell ref="K38:L38"/>
    <mergeCell ref="K39:L39"/>
    <mergeCell ref="K41:L41"/>
    <mergeCell ref="I34:J34"/>
    <mergeCell ref="I35:J35"/>
    <mergeCell ref="I36:J36"/>
    <mergeCell ref="I37:J37"/>
    <mergeCell ref="I38:J38"/>
    <mergeCell ref="A5:D5"/>
    <mergeCell ref="E5:J5"/>
    <mergeCell ref="K5:M5"/>
    <mergeCell ref="A6:G6"/>
    <mergeCell ref="H6:M6"/>
    <mergeCell ref="A53:L53"/>
    <mergeCell ref="A54:L54"/>
    <mergeCell ref="A55:L55"/>
    <mergeCell ref="A56:L56"/>
    <mergeCell ref="G34:H34"/>
    <mergeCell ref="G35:H35"/>
    <mergeCell ref="G36:H36"/>
    <mergeCell ref="G37:H37"/>
    <mergeCell ref="G38:H38"/>
    <mergeCell ref="G39:H39"/>
    <mergeCell ref="G41:H41"/>
    <mergeCell ref="A43:J43"/>
    <mergeCell ref="E39:F39"/>
    <mergeCell ref="E34:F34"/>
    <mergeCell ref="E35:F35"/>
    <mergeCell ref="E36:F36"/>
    <mergeCell ref="E37:F37"/>
    <mergeCell ref="E38:F38"/>
    <mergeCell ref="A39:B39"/>
    <mergeCell ref="G40:H40"/>
    <mergeCell ref="I40:J40"/>
    <mergeCell ref="K40:L40"/>
    <mergeCell ref="I49:J49"/>
    <mergeCell ref="A59:L59"/>
    <mergeCell ref="A57:L57"/>
    <mergeCell ref="A48:D48"/>
    <mergeCell ref="E48:H48"/>
    <mergeCell ref="I48:J48"/>
    <mergeCell ref="K48:L48"/>
    <mergeCell ref="A41:B41"/>
    <mergeCell ref="K43:L43"/>
    <mergeCell ref="A52:L52"/>
    <mergeCell ref="I47:J47"/>
    <mergeCell ref="K49:L49"/>
    <mergeCell ref="I50:J50"/>
    <mergeCell ref="A47:D47"/>
    <mergeCell ref="A49:D49"/>
    <mergeCell ref="A50:D50"/>
    <mergeCell ref="C39:D39"/>
    <mergeCell ref="C41:D41"/>
    <mergeCell ref="A34:B34"/>
    <mergeCell ref="A35:B35"/>
    <mergeCell ref="A36:B36"/>
    <mergeCell ref="A37:B37"/>
    <mergeCell ref="A38:B38"/>
    <mergeCell ref="E41:F41"/>
    <mergeCell ref="C31:D31"/>
    <mergeCell ref="A40:B40"/>
    <mergeCell ref="C40:D40"/>
    <mergeCell ref="E40:F40"/>
  </mergeCells>
  <phoneticPr fontId="28" type="noConversion"/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S95"/>
  <sheetViews>
    <sheetView zoomScaleNormal="100" workbookViewId="0">
      <selection activeCell="G11" sqref="G11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4.1093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98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109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74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35" t="s">
        <v>20</v>
      </c>
      <c r="C8" s="128" t="s">
        <v>27</v>
      </c>
      <c r="D8" s="133" t="s">
        <v>21</v>
      </c>
      <c r="E8" s="130"/>
      <c r="F8" s="128" t="s">
        <v>22</v>
      </c>
      <c r="G8" s="128" t="s">
        <v>23</v>
      </c>
      <c r="H8" s="128" t="s">
        <v>24</v>
      </c>
      <c r="I8" s="130" t="s">
        <v>26</v>
      </c>
    </row>
    <row r="9" spans="2:10" ht="24" customHeight="1" x14ac:dyDescent="0.3">
      <c r="B9" s="136"/>
      <c r="C9" s="129"/>
      <c r="D9" s="134"/>
      <c r="E9" s="131"/>
      <c r="F9" s="137"/>
      <c r="G9" s="137"/>
      <c r="H9" s="129"/>
      <c r="I9" s="131"/>
    </row>
    <row r="10" spans="2:10" x14ac:dyDescent="0.3">
      <c r="B10" s="125" t="s">
        <v>110</v>
      </c>
      <c r="C10" s="126"/>
      <c r="D10" s="126"/>
      <c r="E10" s="126"/>
      <c r="F10" s="126"/>
      <c r="G10" s="126"/>
      <c r="H10" s="126"/>
      <c r="I10" s="127"/>
    </row>
    <row r="11" spans="2:10" ht="26.4" x14ac:dyDescent="0.3">
      <c r="B11" s="19">
        <v>1</v>
      </c>
      <c r="C11" s="20" t="s">
        <v>111</v>
      </c>
      <c r="D11" s="123" t="s">
        <v>30</v>
      </c>
      <c r="E11" s="124"/>
      <c r="F11" s="24" t="s">
        <v>28</v>
      </c>
      <c r="G11" s="25" t="s">
        <v>29</v>
      </c>
      <c r="H11" s="25">
        <v>1873.5</v>
      </c>
      <c r="I11" s="26">
        <v>5218.45</v>
      </c>
    </row>
    <row r="12" spans="2:10" ht="26.4" x14ac:dyDescent="0.3">
      <c r="B12" s="19">
        <v>2</v>
      </c>
      <c r="C12" s="20" t="s">
        <v>111</v>
      </c>
      <c r="D12" s="123" t="s">
        <v>30</v>
      </c>
      <c r="E12" s="124"/>
      <c r="F12" s="24" t="s">
        <v>32</v>
      </c>
      <c r="G12" s="25" t="s">
        <v>31</v>
      </c>
      <c r="H12" s="25">
        <v>1</v>
      </c>
      <c r="I12" s="26">
        <f>(39836.24*1.9%)+(37938.52*1.6%)</f>
        <v>1363.90488</v>
      </c>
    </row>
    <row r="13" spans="2:10" ht="26.4" x14ac:dyDescent="0.3">
      <c r="B13" s="19">
        <v>3</v>
      </c>
      <c r="C13" s="20" t="s">
        <v>111</v>
      </c>
      <c r="D13" s="123" t="s">
        <v>30</v>
      </c>
      <c r="E13" s="124"/>
      <c r="F13" s="24" t="s">
        <v>99</v>
      </c>
      <c r="G13" s="25" t="s">
        <v>69</v>
      </c>
      <c r="H13" s="25">
        <v>1</v>
      </c>
      <c r="I13" s="26">
        <v>1500</v>
      </c>
    </row>
    <row r="14" spans="2:10" ht="26.4" x14ac:dyDescent="0.3">
      <c r="B14" s="19">
        <v>4</v>
      </c>
      <c r="C14" s="20" t="s">
        <v>111</v>
      </c>
      <c r="D14" s="123" t="s">
        <v>30</v>
      </c>
      <c r="E14" s="124"/>
      <c r="F14" s="24" t="s">
        <v>112</v>
      </c>
      <c r="G14" s="25" t="s">
        <v>69</v>
      </c>
      <c r="H14" s="25">
        <v>1</v>
      </c>
      <c r="I14" s="26">
        <f>1873.5*0.1</f>
        <v>187.35000000000002</v>
      </c>
    </row>
    <row r="15" spans="2:10" x14ac:dyDescent="0.3">
      <c r="B15" s="120" t="s">
        <v>115</v>
      </c>
      <c r="C15" s="121"/>
      <c r="D15" s="121"/>
      <c r="E15" s="121"/>
      <c r="F15" s="121"/>
      <c r="G15" s="121"/>
      <c r="H15" s="122"/>
      <c r="I15" s="40">
        <f>SUM(I11:I14)</f>
        <v>8269.7048799999993</v>
      </c>
    </row>
    <row r="16" spans="2:10" x14ac:dyDescent="0.3">
      <c r="B16" s="125" t="s">
        <v>114</v>
      </c>
      <c r="C16" s="126"/>
      <c r="D16" s="126"/>
      <c r="E16" s="126"/>
      <c r="F16" s="126"/>
      <c r="G16" s="126"/>
      <c r="H16" s="126"/>
      <c r="I16" s="127"/>
    </row>
    <row r="17" spans="2:17" ht="26.4" x14ac:dyDescent="0.3">
      <c r="B17" s="19">
        <v>1</v>
      </c>
      <c r="C17" s="20" t="s">
        <v>113</v>
      </c>
      <c r="D17" s="123" t="s">
        <v>30</v>
      </c>
      <c r="E17" s="124"/>
      <c r="F17" s="24" t="s">
        <v>28</v>
      </c>
      <c r="G17" s="25" t="s">
        <v>29</v>
      </c>
      <c r="H17" s="25">
        <v>1873.5</v>
      </c>
      <c r="I17" s="26">
        <f>H17*2.7</f>
        <v>5058.4500000000007</v>
      </c>
      <c r="Q17" s="41"/>
    </row>
    <row r="18" spans="2:17" ht="26.4" x14ac:dyDescent="0.3">
      <c r="B18" s="19">
        <v>2</v>
      </c>
      <c r="C18" s="20" t="s">
        <v>113</v>
      </c>
      <c r="D18" s="123" t="s">
        <v>30</v>
      </c>
      <c r="E18" s="124"/>
      <c r="F18" s="24" t="s">
        <v>99</v>
      </c>
      <c r="G18" s="25" t="s">
        <v>69</v>
      </c>
      <c r="H18" s="25">
        <v>1</v>
      </c>
      <c r="I18" s="26">
        <v>1500</v>
      </c>
    </row>
    <row r="19" spans="2:17" ht="26.4" x14ac:dyDescent="0.3">
      <c r="B19" s="19">
        <v>3</v>
      </c>
      <c r="C19" s="20" t="s">
        <v>113</v>
      </c>
      <c r="D19" s="123" t="s">
        <v>30</v>
      </c>
      <c r="E19" s="124"/>
      <c r="F19" s="24" t="s">
        <v>112</v>
      </c>
      <c r="G19" s="25" t="s">
        <v>69</v>
      </c>
      <c r="H19" s="25">
        <v>1</v>
      </c>
      <c r="I19" s="26">
        <f>I14</f>
        <v>187.35000000000002</v>
      </c>
    </row>
    <row r="20" spans="2:17" ht="26.4" x14ac:dyDescent="0.3">
      <c r="B20" s="19">
        <v>4</v>
      </c>
      <c r="C20" s="20" t="s">
        <v>113</v>
      </c>
      <c r="D20" s="123" t="s">
        <v>30</v>
      </c>
      <c r="E20" s="124"/>
      <c r="F20" s="24" t="s">
        <v>32</v>
      </c>
      <c r="G20" s="25" t="s">
        <v>31</v>
      </c>
      <c r="H20" s="25">
        <v>1</v>
      </c>
      <c r="I20" s="26">
        <f>(39836.24*1.9%)+(38738.49*1.6%)</f>
        <v>1376.7044000000001</v>
      </c>
      <c r="M20" s="41"/>
    </row>
    <row r="21" spans="2:17" x14ac:dyDescent="0.3">
      <c r="B21" s="120" t="s">
        <v>116</v>
      </c>
      <c r="C21" s="121"/>
      <c r="D21" s="121"/>
      <c r="E21" s="121"/>
      <c r="F21" s="121"/>
      <c r="G21" s="121"/>
      <c r="H21" s="122"/>
      <c r="I21" s="40">
        <f>SUM(I17:I20)</f>
        <v>8122.5044000000016</v>
      </c>
    </row>
    <row r="22" spans="2:17" x14ac:dyDescent="0.3">
      <c r="B22" s="125" t="s">
        <v>117</v>
      </c>
      <c r="C22" s="126"/>
      <c r="D22" s="126"/>
      <c r="E22" s="126"/>
      <c r="F22" s="126"/>
      <c r="G22" s="126"/>
      <c r="H22" s="126"/>
      <c r="I22" s="127"/>
    </row>
    <row r="23" spans="2:17" ht="26.4" x14ac:dyDescent="0.3">
      <c r="B23" s="19">
        <v>1</v>
      </c>
      <c r="C23" s="20" t="s">
        <v>118</v>
      </c>
      <c r="D23" s="123" t="s">
        <v>30</v>
      </c>
      <c r="E23" s="124"/>
      <c r="F23" s="24" t="s">
        <v>28</v>
      </c>
      <c r="G23" s="25" t="s">
        <v>29</v>
      </c>
      <c r="H23" s="25">
        <v>1873.5</v>
      </c>
      <c r="I23" s="26">
        <f>H23*2.7</f>
        <v>5058.4500000000007</v>
      </c>
    </row>
    <row r="24" spans="2:17" ht="26.4" x14ac:dyDescent="0.3">
      <c r="B24" s="19">
        <v>2</v>
      </c>
      <c r="C24" s="20" t="s">
        <v>118</v>
      </c>
      <c r="D24" s="123" t="s">
        <v>30</v>
      </c>
      <c r="E24" s="124"/>
      <c r="F24" s="24" t="s">
        <v>120</v>
      </c>
      <c r="G24" s="25" t="s">
        <v>69</v>
      </c>
      <c r="H24" s="25">
        <v>1</v>
      </c>
      <c r="I24" s="26">
        <v>7800</v>
      </c>
    </row>
    <row r="25" spans="2:17" ht="26.4" x14ac:dyDescent="0.3">
      <c r="B25" s="19">
        <v>3</v>
      </c>
      <c r="C25" s="20" t="s">
        <v>118</v>
      </c>
      <c r="D25" s="123" t="s">
        <v>30</v>
      </c>
      <c r="E25" s="124"/>
      <c r="F25" s="24" t="s">
        <v>126</v>
      </c>
      <c r="G25" s="25" t="s">
        <v>69</v>
      </c>
      <c r="H25" s="25">
        <v>1</v>
      </c>
      <c r="I25" s="26">
        <v>1500</v>
      </c>
    </row>
    <row r="26" spans="2:17" ht="26.4" x14ac:dyDescent="0.3">
      <c r="B26" s="19">
        <v>4</v>
      </c>
      <c r="C26" s="20" t="s">
        <v>118</v>
      </c>
      <c r="D26" s="123" t="s">
        <v>30</v>
      </c>
      <c r="E26" s="124"/>
      <c r="F26" s="24" t="s">
        <v>112</v>
      </c>
      <c r="G26" s="25" t="s">
        <v>69</v>
      </c>
      <c r="H26" s="25">
        <v>1</v>
      </c>
      <c r="I26" s="26">
        <f>I19</f>
        <v>187.35000000000002</v>
      </c>
    </row>
    <row r="27" spans="2:17" ht="26.4" x14ac:dyDescent="0.3">
      <c r="B27" s="19">
        <v>5</v>
      </c>
      <c r="C27" s="20" t="s">
        <v>118</v>
      </c>
      <c r="D27" s="123" t="s">
        <v>30</v>
      </c>
      <c r="E27" s="124"/>
      <c r="F27" s="24" t="s">
        <v>32</v>
      </c>
      <c r="G27" s="25" t="s">
        <v>31</v>
      </c>
      <c r="H27" s="25">
        <v>1</v>
      </c>
      <c r="I27" s="26">
        <f>(42498.65*1.9%)+(32798.7*1.6%)</f>
        <v>1332.2535499999999</v>
      </c>
    </row>
    <row r="28" spans="2:17" x14ac:dyDescent="0.3">
      <c r="B28" s="120" t="s">
        <v>119</v>
      </c>
      <c r="C28" s="121"/>
      <c r="D28" s="121"/>
      <c r="E28" s="121"/>
      <c r="F28" s="121"/>
      <c r="G28" s="121"/>
      <c r="H28" s="122"/>
      <c r="I28" s="40">
        <f>SUM(I23:I27)</f>
        <v>15878.053550000001</v>
      </c>
    </row>
    <row r="29" spans="2:17" x14ac:dyDescent="0.3">
      <c r="B29" s="125" t="s">
        <v>122</v>
      </c>
      <c r="C29" s="126"/>
      <c r="D29" s="126"/>
      <c r="E29" s="126"/>
      <c r="F29" s="126"/>
      <c r="G29" s="126"/>
      <c r="H29" s="126"/>
      <c r="I29" s="127"/>
    </row>
    <row r="30" spans="2:17" ht="26.4" x14ac:dyDescent="0.3">
      <c r="B30" s="19">
        <v>1</v>
      </c>
      <c r="C30" s="20" t="s">
        <v>124</v>
      </c>
      <c r="D30" s="123" t="s">
        <v>30</v>
      </c>
      <c r="E30" s="124"/>
      <c r="F30" s="24" t="s">
        <v>28</v>
      </c>
      <c r="G30" s="25" t="s">
        <v>29</v>
      </c>
      <c r="H30" s="25">
        <v>1873.5</v>
      </c>
      <c r="I30" s="26">
        <f>H30*2.7</f>
        <v>5058.4500000000007</v>
      </c>
    </row>
    <row r="31" spans="2:17" x14ac:dyDescent="0.3">
      <c r="B31" s="19">
        <v>2</v>
      </c>
      <c r="C31" s="20" t="s">
        <v>124</v>
      </c>
      <c r="D31" s="123" t="s">
        <v>30</v>
      </c>
      <c r="E31" s="124"/>
      <c r="F31" s="24" t="s">
        <v>125</v>
      </c>
      <c r="G31" s="25" t="s">
        <v>69</v>
      </c>
      <c r="H31" s="25">
        <v>1</v>
      </c>
      <c r="I31" s="26">
        <v>4500</v>
      </c>
    </row>
    <row r="32" spans="2:17" ht="26.4" x14ac:dyDescent="0.3">
      <c r="B32" s="19">
        <v>3</v>
      </c>
      <c r="C32" s="20" t="s">
        <v>124</v>
      </c>
      <c r="D32" s="123" t="s">
        <v>30</v>
      </c>
      <c r="E32" s="124"/>
      <c r="F32" s="24" t="s">
        <v>126</v>
      </c>
      <c r="G32" s="25" t="s">
        <v>69</v>
      </c>
      <c r="H32" s="25">
        <v>1</v>
      </c>
      <c r="I32" s="26">
        <v>1500</v>
      </c>
    </row>
    <row r="33" spans="2:9" ht="26.4" x14ac:dyDescent="0.3">
      <c r="B33" s="19">
        <v>4</v>
      </c>
      <c r="C33" s="20" t="s">
        <v>124</v>
      </c>
      <c r="D33" s="123" t="s">
        <v>30</v>
      </c>
      <c r="E33" s="124"/>
      <c r="F33" s="24" t="s">
        <v>32</v>
      </c>
      <c r="G33" s="25" t="s">
        <v>31</v>
      </c>
      <c r="H33" s="25">
        <v>1</v>
      </c>
      <c r="I33" s="26">
        <f>(46119.1*1.9%)+(42968.08*1.6%)</f>
        <v>1563.75218</v>
      </c>
    </row>
    <row r="34" spans="2:9" ht="26.4" x14ac:dyDescent="0.3">
      <c r="B34" s="19">
        <v>5</v>
      </c>
      <c r="C34" s="20" t="s">
        <v>124</v>
      </c>
      <c r="D34" s="123" t="s">
        <v>30</v>
      </c>
      <c r="E34" s="124"/>
      <c r="F34" s="24" t="s">
        <v>112</v>
      </c>
      <c r="G34" s="25" t="s">
        <v>69</v>
      </c>
      <c r="H34" s="25">
        <v>1</v>
      </c>
      <c r="I34" s="26">
        <f>I19</f>
        <v>187.35000000000002</v>
      </c>
    </row>
    <row r="35" spans="2:9" x14ac:dyDescent="0.3">
      <c r="B35" s="120" t="s">
        <v>123</v>
      </c>
      <c r="C35" s="121"/>
      <c r="D35" s="121"/>
      <c r="E35" s="121"/>
      <c r="F35" s="121"/>
      <c r="G35" s="121"/>
      <c r="H35" s="122"/>
      <c r="I35" s="40">
        <f>SUM(I30:I34)</f>
        <v>12809.552180000001</v>
      </c>
    </row>
    <row r="36" spans="2:9" x14ac:dyDescent="0.3">
      <c r="B36" s="125" t="s">
        <v>127</v>
      </c>
      <c r="C36" s="126"/>
      <c r="D36" s="126"/>
      <c r="E36" s="126"/>
      <c r="F36" s="126"/>
      <c r="G36" s="126"/>
      <c r="H36" s="126"/>
      <c r="I36" s="127"/>
    </row>
    <row r="37" spans="2:9" ht="26.4" x14ac:dyDescent="0.3">
      <c r="B37" s="19">
        <v>1</v>
      </c>
      <c r="C37" s="20" t="s">
        <v>129</v>
      </c>
      <c r="D37" s="123" t="s">
        <v>30</v>
      </c>
      <c r="E37" s="124"/>
      <c r="F37" s="24" t="s">
        <v>28</v>
      </c>
      <c r="G37" s="25" t="s">
        <v>29</v>
      </c>
      <c r="H37" s="25">
        <v>1873.5</v>
      </c>
      <c r="I37" s="26">
        <f>H37*2.7</f>
        <v>5058.4500000000007</v>
      </c>
    </row>
    <row r="38" spans="2:9" ht="26.4" x14ac:dyDescent="0.3">
      <c r="B38" s="19">
        <v>2</v>
      </c>
      <c r="C38" s="20" t="s">
        <v>129</v>
      </c>
      <c r="D38" s="123" t="s">
        <v>30</v>
      </c>
      <c r="E38" s="124"/>
      <c r="F38" s="24" t="s">
        <v>112</v>
      </c>
      <c r="G38" s="25" t="s">
        <v>69</v>
      </c>
      <c r="H38" s="25">
        <v>1</v>
      </c>
      <c r="I38" s="26">
        <f>I34</f>
        <v>187.35000000000002</v>
      </c>
    </row>
    <row r="39" spans="2:9" ht="26.4" x14ac:dyDescent="0.3">
      <c r="B39" s="19">
        <v>3</v>
      </c>
      <c r="C39" s="20" t="s">
        <v>129</v>
      </c>
      <c r="D39" s="123" t="s">
        <v>30</v>
      </c>
      <c r="E39" s="124"/>
      <c r="F39" s="24" t="s">
        <v>32</v>
      </c>
      <c r="G39" s="25" t="s">
        <v>31</v>
      </c>
      <c r="H39" s="25">
        <v>1</v>
      </c>
      <c r="I39" s="26">
        <f>(51395.71*1.9%)+(38921.29*1.6%)</f>
        <v>1599.2591299999999</v>
      </c>
    </row>
    <row r="40" spans="2:9" x14ac:dyDescent="0.3">
      <c r="B40" s="120" t="s">
        <v>128</v>
      </c>
      <c r="C40" s="121"/>
      <c r="D40" s="121"/>
      <c r="E40" s="121"/>
      <c r="F40" s="121"/>
      <c r="G40" s="121"/>
      <c r="H40" s="122"/>
      <c r="I40" s="40">
        <f>SUM(I37:I39)</f>
        <v>6845.0591300000015</v>
      </c>
    </row>
    <row r="41" spans="2:9" x14ac:dyDescent="0.3">
      <c r="B41" s="125" t="s">
        <v>130</v>
      </c>
      <c r="C41" s="126"/>
      <c r="D41" s="126"/>
      <c r="E41" s="126"/>
      <c r="F41" s="126"/>
      <c r="G41" s="126"/>
      <c r="H41" s="126"/>
      <c r="I41" s="127"/>
    </row>
    <row r="42" spans="2:9" ht="26.4" x14ac:dyDescent="0.3">
      <c r="B42" s="19">
        <v>1</v>
      </c>
      <c r="C42" s="20" t="s">
        <v>131</v>
      </c>
      <c r="D42" s="123" t="s">
        <v>30</v>
      </c>
      <c r="E42" s="124"/>
      <c r="F42" s="24" t="s">
        <v>28</v>
      </c>
      <c r="G42" s="25" t="s">
        <v>29</v>
      </c>
      <c r="H42" s="25">
        <v>1873.5</v>
      </c>
      <c r="I42" s="26">
        <f>H42*2.7</f>
        <v>5058.4500000000007</v>
      </c>
    </row>
    <row r="43" spans="2:9" ht="26.4" x14ac:dyDescent="0.3">
      <c r="B43" s="19">
        <v>2</v>
      </c>
      <c r="C43" s="20" t="s">
        <v>131</v>
      </c>
      <c r="D43" s="123" t="s">
        <v>30</v>
      </c>
      <c r="E43" s="124"/>
      <c r="F43" s="24" t="s">
        <v>112</v>
      </c>
      <c r="G43" s="25" t="s">
        <v>69</v>
      </c>
      <c r="H43" s="25">
        <v>1</v>
      </c>
      <c r="I43" s="26">
        <f>I38</f>
        <v>187.35000000000002</v>
      </c>
    </row>
    <row r="44" spans="2:9" ht="26.4" x14ac:dyDescent="0.3">
      <c r="B44" s="19">
        <v>3</v>
      </c>
      <c r="C44" s="20" t="s">
        <v>131</v>
      </c>
      <c r="D44" s="123" t="s">
        <v>30</v>
      </c>
      <c r="E44" s="124"/>
      <c r="F44" s="24" t="s">
        <v>32</v>
      </c>
      <c r="G44" s="25" t="s">
        <v>31</v>
      </c>
      <c r="H44" s="25">
        <v>1</v>
      </c>
      <c r="I44" s="26">
        <f>(52109.12*1.9%)+(44699.55*1.6%)</f>
        <v>1705.2660800000001</v>
      </c>
    </row>
    <row r="45" spans="2:9" x14ac:dyDescent="0.3">
      <c r="B45" s="120" t="s">
        <v>132</v>
      </c>
      <c r="C45" s="121"/>
      <c r="D45" s="121"/>
      <c r="E45" s="121"/>
      <c r="F45" s="121"/>
      <c r="G45" s="121"/>
      <c r="H45" s="122"/>
      <c r="I45" s="40">
        <f>SUM(I42:I44)</f>
        <v>6951.0660800000014</v>
      </c>
    </row>
    <row r="46" spans="2:9" x14ac:dyDescent="0.3">
      <c r="B46" s="125" t="s">
        <v>135</v>
      </c>
      <c r="C46" s="126"/>
      <c r="D46" s="126"/>
      <c r="E46" s="126"/>
      <c r="F46" s="126"/>
      <c r="G46" s="126"/>
      <c r="H46" s="126"/>
      <c r="I46" s="127"/>
    </row>
    <row r="47" spans="2:9" ht="26.4" x14ac:dyDescent="0.3">
      <c r="B47" s="19">
        <v>1</v>
      </c>
      <c r="C47" s="20" t="s">
        <v>137</v>
      </c>
      <c r="D47" s="123" t="s">
        <v>30</v>
      </c>
      <c r="E47" s="124"/>
      <c r="F47" s="24" t="s">
        <v>28</v>
      </c>
      <c r="G47" s="25" t="s">
        <v>29</v>
      </c>
      <c r="H47" s="25">
        <v>1873.5</v>
      </c>
      <c r="I47" s="26">
        <f>H47*2.7</f>
        <v>5058.4500000000007</v>
      </c>
    </row>
    <row r="48" spans="2:9" ht="26.4" x14ac:dyDescent="0.3">
      <c r="B48" s="19">
        <v>2</v>
      </c>
      <c r="C48" s="20" t="s">
        <v>137</v>
      </c>
      <c r="D48" s="123" t="s">
        <v>30</v>
      </c>
      <c r="E48" s="124"/>
      <c r="F48" s="24" t="s">
        <v>112</v>
      </c>
      <c r="G48" s="25" t="s">
        <v>69</v>
      </c>
      <c r="H48" s="25">
        <v>1</v>
      </c>
      <c r="I48" s="26">
        <f>I43</f>
        <v>187.35000000000002</v>
      </c>
    </row>
    <row r="49" spans="2:9" ht="26.4" x14ac:dyDescent="0.3">
      <c r="B49" s="19">
        <v>3</v>
      </c>
      <c r="C49" s="20" t="s">
        <v>137</v>
      </c>
      <c r="D49" s="123" t="s">
        <v>30</v>
      </c>
      <c r="E49" s="124"/>
      <c r="F49" s="24" t="s">
        <v>32</v>
      </c>
      <c r="G49" s="25" t="s">
        <v>31</v>
      </c>
      <c r="H49" s="25">
        <v>1</v>
      </c>
      <c r="I49" s="26">
        <f>(41351.37*1.9%)+(52431.39*1.6%)</f>
        <v>1624.57827</v>
      </c>
    </row>
    <row r="50" spans="2:9" ht="33" customHeight="1" x14ac:dyDescent="0.3">
      <c r="B50" s="19">
        <v>4</v>
      </c>
      <c r="C50" s="20" t="s">
        <v>137</v>
      </c>
      <c r="D50" s="123" t="s">
        <v>30</v>
      </c>
      <c r="E50" s="124"/>
      <c r="F50" s="54" t="s">
        <v>138</v>
      </c>
      <c r="G50" s="25" t="s">
        <v>69</v>
      </c>
      <c r="H50" s="25">
        <v>1</v>
      </c>
      <c r="I50" s="26">
        <v>3000</v>
      </c>
    </row>
    <row r="51" spans="2:9" x14ac:dyDescent="0.3">
      <c r="B51" s="120" t="s">
        <v>136</v>
      </c>
      <c r="C51" s="121"/>
      <c r="D51" s="121"/>
      <c r="E51" s="121"/>
      <c r="F51" s="121"/>
      <c r="G51" s="121"/>
      <c r="H51" s="122"/>
      <c r="I51" s="40">
        <f>SUM(I47:I50)</f>
        <v>9870.3782700000011</v>
      </c>
    </row>
    <row r="52" spans="2:9" x14ac:dyDescent="0.3">
      <c r="B52" s="125" t="s">
        <v>139</v>
      </c>
      <c r="C52" s="126"/>
      <c r="D52" s="126"/>
      <c r="E52" s="126"/>
      <c r="F52" s="126"/>
      <c r="G52" s="126"/>
      <c r="H52" s="126"/>
      <c r="I52" s="127"/>
    </row>
    <row r="53" spans="2:9" ht="26.4" x14ac:dyDescent="0.3">
      <c r="B53" s="19">
        <v>1</v>
      </c>
      <c r="C53" s="20" t="s">
        <v>141</v>
      </c>
      <c r="D53" s="123" t="s">
        <v>30</v>
      </c>
      <c r="E53" s="124"/>
      <c r="F53" s="24" t="s">
        <v>28</v>
      </c>
      <c r="G53" s="25" t="s">
        <v>29</v>
      </c>
      <c r="H53" s="25">
        <v>1873.5</v>
      </c>
      <c r="I53" s="26">
        <f>H53*2.7</f>
        <v>5058.4500000000007</v>
      </c>
    </row>
    <row r="54" spans="2:9" ht="26.4" x14ac:dyDescent="0.3">
      <c r="B54" s="19">
        <v>2</v>
      </c>
      <c r="C54" s="20" t="s">
        <v>141</v>
      </c>
      <c r="D54" s="123" t="s">
        <v>30</v>
      </c>
      <c r="E54" s="124"/>
      <c r="F54" s="24" t="s">
        <v>112</v>
      </c>
      <c r="G54" s="25" t="s">
        <v>69</v>
      </c>
      <c r="H54" s="25">
        <v>1</v>
      </c>
      <c r="I54" s="26">
        <f>I48</f>
        <v>187.35000000000002</v>
      </c>
    </row>
    <row r="55" spans="2:9" ht="26.4" x14ac:dyDescent="0.3">
      <c r="B55" s="19">
        <v>3</v>
      </c>
      <c r="C55" s="20" t="s">
        <v>141</v>
      </c>
      <c r="D55" s="123" t="s">
        <v>30</v>
      </c>
      <c r="E55" s="124"/>
      <c r="F55" s="24" t="s">
        <v>32</v>
      </c>
      <c r="G55" s="25" t="s">
        <v>31</v>
      </c>
      <c r="H55" s="25">
        <v>1</v>
      </c>
      <c r="I55" s="26">
        <f>(39836.24*1.9%)+(43871.72*1.6%)</f>
        <v>1458.83608</v>
      </c>
    </row>
    <row r="56" spans="2:9" x14ac:dyDescent="0.3">
      <c r="B56" s="19">
        <v>4</v>
      </c>
      <c r="C56" s="20" t="s">
        <v>141</v>
      </c>
      <c r="D56" s="123" t="s">
        <v>30</v>
      </c>
      <c r="E56" s="124"/>
      <c r="F56" s="55" t="s">
        <v>140</v>
      </c>
      <c r="G56" s="25" t="s">
        <v>69</v>
      </c>
      <c r="H56" s="25">
        <v>1</v>
      </c>
      <c r="I56" s="26">
        <v>1100</v>
      </c>
    </row>
    <row r="57" spans="2:9" ht="30.75" customHeight="1" x14ac:dyDescent="0.3">
      <c r="B57" s="19">
        <v>5</v>
      </c>
      <c r="C57" s="20" t="s">
        <v>141</v>
      </c>
      <c r="D57" s="123" t="s">
        <v>30</v>
      </c>
      <c r="E57" s="124"/>
      <c r="F57" s="54" t="s">
        <v>68</v>
      </c>
      <c r="G57" s="25" t="s">
        <v>31</v>
      </c>
      <c r="H57" s="25">
        <v>1</v>
      </c>
      <c r="I57" s="26">
        <v>2320</v>
      </c>
    </row>
    <row r="58" spans="2:9" x14ac:dyDescent="0.3">
      <c r="B58" s="120" t="s">
        <v>142</v>
      </c>
      <c r="C58" s="121"/>
      <c r="D58" s="121"/>
      <c r="E58" s="121"/>
      <c r="F58" s="121"/>
      <c r="G58" s="121"/>
      <c r="H58" s="122"/>
      <c r="I58" s="40">
        <f>SUM(I53:I57)</f>
        <v>10124.63608</v>
      </c>
    </row>
    <row r="59" spans="2:9" x14ac:dyDescent="0.3">
      <c r="B59" s="125" t="s">
        <v>143</v>
      </c>
      <c r="C59" s="126"/>
      <c r="D59" s="126"/>
      <c r="E59" s="126"/>
      <c r="F59" s="126"/>
      <c r="G59" s="126"/>
      <c r="H59" s="126"/>
      <c r="I59" s="127"/>
    </row>
    <row r="60" spans="2:9" ht="26.4" x14ac:dyDescent="0.3">
      <c r="B60" s="19">
        <v>1</v>
      </c>
      <c r="C60" s="20" t="s">
        <v>144</v>
      </c>
      <c r="D60" s="123" t="s">
        <v>30</v>
      </c>
      <c r="E60" s="124"/>
      <c r="F60" s="24" t="s">
        <v>28</v>
      </c>
      <c r="G60" s="25" t="s">
        <v>29</v>
      </c>
      <c r="H60" s="25">
        <v>1873.5</v>
      </c>
      <c r="I60" s="26">
        <f>H60*2.7</f>
        <v>5058.4500000000007</v>
      </c>
    </row>
    <row r="61" spans="2:9" ht="26.4" x14ac:dyDescent="0.3">
      <c r="B61" s="19">
        <v>2</v>
      </c>
      <c r="C61" s="20" t="s">
        <v>144</v>
      </c>
      <c r="D61" s="123" t="s">
        <v>30</v>
      </c>
      <c r="E61" s="124"/>
      <c r="F61" s="24" t="s">
        <v>68</v>
      </c>
      <c r="G61" s="25" t="s">
        <v>69</v>
      </c>
      <c r="H61" s="25">
        <v>1</v>
      </c>
      <c r="I61" s="26">
        <v>5800</v>
      </c>
    </row>
    <row r="62" spans="2:9" ht="26.4" x14ac:dyDescent="0.3">
      <c r="B62" s="19">
        <v>3</v>
      </c>
      <c r="C62" s="20" t="s">
        <v>144</v>
      </c>
      <c r="D62" s="123" t="s">
        <v>30</v>
      </c>
      <c r="E62" s="124"/>
      <c r="F62" s="24" t="s">
        <v>32</v>
      </c>
      <c r="G62" s="25" t="s">
        <v>31</v>
      </c>
      <c r="H62" s="25">
        <v>1</v>
      </c>
      <c r="I62" s="26">
        <f>(39836.24*1.9%)+(32779.65*1.6%)</f>
        <v>1281.3629599999999</v>
      </c>
    </row>
    <row r="63" spans="2:9" ht="30.75" customHeight="1" x14ac:dyDescent="0.3">
      <c r="B63" s="19">
        <v>4</v>
      </c>
      <c r="C63" s="20" t="s">
        <v>144</v>
      </c>
      <c r="D63" s="123" t="s">
        <v>30</v>
      </c>
      <c r="E63" s="124"/>
      <c r="F63" s="24" t="s">
        <v>112</v>
      </c>
      <c r="G63" s="25" t="s">
        <v>31</v>
      </c>
      <c r="H63" s="25">
        <v>1</v>
      </c>
      <c r="I63" s="26">
        <f>I54</f>
        <v>187.35000000000002</v>
      </c>
    </row>
    <row r="64" spans="2:9" x14ac:dyDescent="0.3">
      <c r="B64" s="120" t="s">
        <v>145</v>
      </c>
      <c r="C64" s="121"/>
      <c r="D64" s="121"/>
      <c r="E64" s="121"/>
      <c r="F64" s="121"/>
      <c r="G64" s="121"/>
      <c r="H64" s="122"/>
      <c r="I64" s="40">
        <f>SUM(I60:I63)</f>
        <v>12327.162960000001</v>
      </c>
    </row>
    <row r="65" spans="2:19" ht="12.75" customHeight="1" x14ac:dyDescent="0.3">
      <c r="B65" s="125" t="s">
        <v>146</v>
      </c>
      <c r="C65" s="126"/>
      <c r="D65" s="126"/>
      <c r="E65" s="126"/>
      <c r="F65" s="126"/>
      <c r="G65" s="126"/>
      <c r="H65" s="126"/>
      <c r="I65" s="127"/>
    </row>
    <row r="66" spans="2:19" ht="26.4" x14ac:dyDescent="0.3">
      <c r="B66" s="19">
        <v>1</v>
      </c>
      <c r="C66" s="20" t="s">
        <v>150</v>
      </c>
      <c r="D66" s="123" t="s">
        <v>30</v>
      </c>
      <c r="E66" s="124"/>
      <c r="F66" s="24" t="s">
        <v>28</v>
      </c>
      <c r="G66" s="25" t="s">
        <v>29</v>
      </c>
      <c r="H66" s="25">
        <v>1873.5</v>
      </c>
      <c r="I66" s="26">
        <f>H66*2.7</f>
        <v>5058.4500000000007</v>
      </c>
    </row>
    <row r="67" spans="2:19" ht="30.75" customHeight="1" x14ac:dyDescent="0.3">
      <c r="B67" s="19">
        <v>2</v>
      </c>
      <c r="C67" s="20" t="s">
        <v>150</v>
      </c>
      <c r="D67" s="123" t="s">
        <v>30</v>
      </c>
      <c r="E67" s="124"/>
      <c r="F67" s="24" t="s">
        <v>112</v>
      </c>
      <c r="G67" s="25" t="s">
        <v>31</v>
      </c>
      <c r="H67" s="25">
        <v>1</v>
      </c>
      <c r="I67" s="26">
        <f>I63</f>
        <v>187.35000000000002</v>
      </c>
    </row>
    <row r="68" spans="2:19" x14ac:dyDescent="0.3">
      <c r="B68" s="19">
        <v>3</v>
      </c>
      <c r="C68" s="20" t="s">
        <v>150</v>
      </c>
      <c r="D68" s="123" t="s">
        <v>30</v>
      </c>
      <c r="E68" s="124"/>
      <c r="F68" s="55" t="s">
        <v>147</v>
      </c>
      <c r="G68" s="25" t="s">
        <v>69</v>
      </c>
      <c r="H68" s="25">
        <v>1</v>
      </c>
      <c r="I68" s="26">
        <v>2687</v>
      </c>
    </row>
    <row r="69" spans="2:19" x14ac:dyDescent="0.3">
      <c r="B69" s="19">
        <v>4</v>
      </c>
      <c r="C69" s="20" t="s">
        <v>150</v>
      </c>
      <c r="D69" s="123" t="s">
        <v>30</v>
      </c>
      <c r="E69" s="124"/>
      <c r="F69" s="55" t="s">
        <v>148</v>
      </c>
      <c r="G69" s="25" t="s">
        <v>69</v>
      </c>
      <c r="H69" s="25">
        <v>1</v>
      </c>
      <c r="I69" s="26">
        <v>1500</v>
      </c>
    </row>
    <row r="70" spans="2:19" ht="26.4" x14ac:dyDescent="0.3">
      <c r="B70" s="19">
        <v>5</v>
      </c>
      <c r="C70" s="20" t="s">
        <v>150</v>
      </c>
      <c r="D70" s="123" t="s">
        <v>30</v>
      </c>
      <c r="E70" s="124"/>
      <c r="F70" s="54" t="s">
        <v>153</v>
      </c>
      <c r="G70" s="25" t="s">
        <v>69</v>
      </c>
      <c r="H70" s="25">
        <v>1</v>
      </c>
      <c r="I70" s="26">
        <v>2570</v>
      </c>
    </row>
    <row r="71" spans="2:19" ht="26.4" x14ac:dyDescent="0.3">
      <c r="B71" s="19">
        <v>6</v>
      </c>
      <c r="C71" s="20" t="s">
        <v>150</v>
      </c>
      <c r="D71" s="123" t="s">
        <v>30</v>
      </c>
      <c r="E71" s="124"/>
      <c r="F71" s="54" t="s">
        <v>149</v>
      </c>
      <c r="G71" s="25" t="s">
        <v>69</v>
      </c>
      <c r="H71" s="25">
        <v>1</v>
      </c>
      <c r="I71" s="26">
        <v>1100</v>
      </c>
    </row>
    <row r="72" spans="2:19" ht="26.4" x14ac:dyDescent="0.3">
      <c r="B72" s="19">
        <v>7</v>
      </c>
      <c r="C72" s="20" t="s">
        <v>150</v>
      </c>
      <c r="D72" s="123" t="s">
        <v>30</v>
      </c>
      <c r="E72" s="124"/>
      <c r="F72" s="24" t="s">
        <v>32</v>
      </c>
      <c r="G72" s="25" t="s">
        <v>31</v>
      </c>
      <c r="H72" s="25">
        <v>1</v>
      </c>
      <c r="I72" s="26">
        <f>(48804.21*1.9%)+(48063.68*1.6%)</f>
        <v>1696.2988700000001</v>
      </c>
    </row>
    <row r="73" spans="2:19" ht="12.75" customHeight="1" x14ac:dyDescent="0.3">
      <c r="B73" s="120" t="s">
        <v>151</v>
      </c>
      <c r="C73" s="121"/>
      <c r="D73" s="121"/>
      <c r="E73" s="121"/>
      <c r="F73" s="121"/>
      <c r="G73" s="121"/>
      <c r="H73" s="122"/>
      <c r="I73" s="40">
        <f>SUM(I66:I72)</f>
        <v>14799.098870000002</v>
      </c>
    </row>
    <row r="74" spans="2:19" x14ac:dyDescent="0.3">
      <c r="B74" s="125" t="s">
        <v>152</v>
      </c>
      <c r="C74" s="126"/>
      <c r="D74" s="126"/>
      <c r="E74" s="126"/>
      <c r="F74" s="126"/>
      <c r="G74" s="126"/>
      <c r="H74" s="126"/>
      <c r="I74" s="127"/>
    </row>
    <row r="75" spans="2:19" ht="26.4" x14ac:dyDescent="0.3">
      <c r="B75" s="19">
        <v>1</v>
      </c>
      <c r="C75" s="20" t="s">
        <v>155</v>
      </c>
      <c r="D75" s="123" t="s">
        <v>30</v>
      </c>
      <c r="E75" s="124"/>
      <c r="F75" s="24" t="s">
        <v>28</v>
      </c>
      <c r="G75" s="25" t="s">
        <v>29</v>
      </c>
      <c r="H75" s="25">
        <v>1873.5</v>
      </c>
      <c r="I75" s="26">
        <f>H75*2.7</f>
        <v>5058.4500000000007</v>
      </c>
      <c r="Q75" s="41"/>
    </row>
    <row r="76" spans="2:19" ht="30.75" customHeight="1" x14ac:dyDescent="0.3">
      <c r="B76" s="19">
        <v>2</v>
      </c>
      <c r="C76" s="20" t="s">
        <v>155</v>
      </c>
      <c r="D76" s="123" t="s">
        <v>30</v>
      </c>
      <c r="E76" s="124"/>
      <c r="F76" s="24" t="s">
        <v>112</v>
      </c>
      <c r="G76" s="25" t="s">
        <v>31</v>
      </c>
      <c r="H76" s="25">
        <v>1</v>
      </c>
      <c r="I76" s="26">
        <f>I67</f>
        <v>187.35000000000002</v>
      </c>
    </row>
    <row r="77" spans="2:19" ht="26.4" x14ac:dyDescent="0.3">
      <c r="B77" s="19">
        <v>3</v>
      </c>
      <c r="C77" s="20" t="s">
        <v>155</v>
      </c>
      <c r="D77" s="123" t="s">
        <v>30</v>
      </c>
      <c r="E77" s="124"/>
      <c r="F77" s="54" t="s">
        <v>154</v>
      </c>
      <c r="G77" s="25" t="s">
        <v>69</v>
      </c>
      <c r="H77" s="25">
        <v>1</v>
      </c>
      <c r="I77" s="26">
        <v>350</v>
      </c>
      <c r="Q77" s="41"/>
    </row>
    <row r="78" spans="2:19" x14ac:dyDescent="0.3">
      <c r="B78" s="19">
        <v>4</v>
      </c>
      <c r="C78" s="20" t="s">
        <v>155</v>
      </c>
      <c r="D78" s="123" t="s">
        <v>30</v>
      </c>
      <c r="E78" s="124"/>
      <c r="F78" s="55" t="s">
        <v>148</v>
      </c>
      <c r="G78" s="25" t="s">
        <v>69</v>
      </c>
      <c r="H78" s="25">
        <v>1</v>
      </c>
      <c r="I78" s="26">
        <v>1500</v>
      </c>
      <c r="S78" s="41"/>
    </row>
    <row r="79" spans="2:19" ht="26.4" x14ac:dyDescent="0.3">
      <c r="B79" s="19">
        <v>5</v>
      </c>
      <c r="C79" s="20" t="s">
        <v>155</v>
      </c>
      <c r="D79" s="123" t="s">
        <v>30</v>
      </c>
      <c r="E79" s="124"/>
      <c r="F79" s="24" t="s">
        <v>32</v>
      </c>
      <c r="G79" s="25" t="s">
        <v>31</v>
      </c>
      <c r="H79" s="25">
        <v>1</v>
      </c>
      <c r="I79" s="26">
        <f>(40437.75*1.9%)+(54098.33*1.6%)</f>
        <v>1633.8905300000001</v>
      </c>
    </row>
    <row r="80" spans="2:19" x14ac:dyDescent="0.3">
      <c r="B80" s="120" t="s">
        <v>156</v>
      </c>
      <c r="C80" s="121"/>
      <c r="D80" s="121"/>
      <c r="E80" s="121"/>
      <c r="F80" s="121"/>
      <c r="G80" s="121"/>
      <c r="H80" s="122"/>
      <c r="I80" s="40">
        <f>SUM(I75:I79)</f>
        <v>8729.6905300000017</v>
      </c>
    </row>
    <row r="81" spans="2:15" x14ac:dyDescent="0.3">
      <c r="B81" s="125" t="s">
        <v>157</v>
      </c>
      <c r="C81" s="126"/>
      <c r="D81" s="126"/>
      <c r="E81" s="126"/>
      <c r="F81" s="126"/>
      <c r="G81" s="126"/>
      <c r="H81" s="126"/>
      <c r="I81" s="127"/>
    </row>
    <row r="82" spans="2:15" ht="26.4" x14ac:dyDescent="0.3">
      <c r="B82" s="19">
        <v>1</v>
      </c>
      <c r="C82" s="20" t="s">
        <v>71</v>
      </c>
      <c r="D82" s="123" t="s">
        <v>30</v>
      </c>
      <c r="E82" s="124"/>
      <c r="F82" s="24" t="s">
        <v>28</v>
      </c>
      <c r="G82" s="25" t="s">
        <v>29</v>
      </c>
      <c r="H82" s="25">
        <v>1873.5</v>
      </c>
      <c r="I82" s="26">
        <f>H82*2.7</f>
        <v>5058.4500000000007</v>
      </c>
      <c r="O82" s="41"/>
    </row>
    <row r="83" spans="2:15" ht="30.75" customHeight="1" x14ac:dyDescent="0.3">
      <c r="B83" s="19">
        <v>2</v>
      </c>
      <c r="C83" s="20" t="s">
        <v>155</v>
      </c>
      <c r="D83" s="123" t="s">
        <v>30</v>
      </c>
      <c r="E83" s="124"/>
      <c r="F83" s="24" t="s">
        <v>112</v>
      </c>
      <c r="G83" s="25" t="s">
        <v>31</v>
      </c>
      <c r="H83" s="25">
        <v>1</v>
      </c>
      <c r="I83" s="26">
        <f>I76</f>
        <v>187.35000000000002</v>
      </c>
    </row>
    <row r="84" spans="2:15" ht="26.4" x14ac:dyDescent="0.3">
      <c r="B84" s="19">
        <v>2</v>
      </c>
      <c r="C84" s="20" t="s">
        <v>71</v>
      </c>
      <c r="D84" s="123" t="s">
        <v>30</v>
      </c>
      <c r="E84" s="124"/>
      <c r="F84" s="54" t="s">
        <v>164</v>
      </c>
      <c r="G84" s="25" t="s">
        <v>69</v>
      </c>
      <c r="H84" s="25">
        <v>1</v>
      </c>
      <c r="I84" s="26">
        <v>10176</v>
      </c>
      <c r="O84" s="41"/>
    </row>
    <row r="85" spans="2:15" ht="26.4" x14ac:dyDescent="0.3">
      <c r="B85" s="19">
        <v>3</v>
      </c>
      <c r="C85" s="20" t="s">
        <v>71</v>
      </c>
      <c r="D85" s="123" t="s">
        <v>30</v>
      </c>
      <c r="E85" s="124"/>
      <c r="F85" s="54" t="s">
        <v>154</v>
      </c>
      <c r="G85" s="25" t="s">
        <v>69</v>
      </c>
      <c r="H85" s="25">
        <v>1</v>
      </c>
      <c r="I85" s="26">
        <v>350</v>
      </c>
      <c r="O85" s="41"/>
    </row>
    <row r="86" spans="2:15" ht="26.4" x14ac:dyDescent="0.3">
      <c r="B86" s="19">
        <v>6</v>
      </c>
      <c r="C86" s="20" t="s">
        <v>71</v>
      </c>
      <c r="D86" s="123" t="s">
        <v>30</v>
      </c>
      <c r="E86" s="124"/>
      <c r="F86" s="24" t="s">
        <v>100</v>
      </c>
      <c r="G86" s="25"/>
      <c r="H86" s="25"/>
      <c r="I86" s="26">
        <v>1500</v>
      </c>
      <c r="O86" s="41"/>
    </row>
    <row r="87" spans="2:15" ht="26.4" x14ac:dyDescent="0.3">
      <c r="B87" s="19">
        <v>7</v>
      </c>
      <c r="C87" s="20" t="s">
        <v>71</v>
      </c>
      <c r="D87" s="123" t="s">
        <v>30</v>
      </c>
      <c r="E87" s="124"/>
      <c r="F87" s="24" t="s">
        <v>32</v>
      </c>
      <c r="G87" s="25" t="s">
        <v>31</v>
      </c>
      <c r="H87" s="25">
        <v>1</v>
      </c>
      <c r="I87" s="26">
        <f>(42816.66*1.9%)+(45775.83*1.6%)</f>
        <v>1545.9298200000003</v>
      </c>
    </row>
    <row r="88" spans="2:15" x14ac:dyDescent="0.3">
      <c r="B88" s="19">
        <v>8</v>
      </c>
      <c r="C88" s="20" t="s">
        <v>71</v>
      </c>
      <c r="D88" s="123" t="s">
        <v>30</v>
      </c>
      <c r="E88" s="124"/>
      <c r="F88" s="24" t="s">
        <v>72</v>
      </c>
      <c r="G88" s="25" t="s">
        <v>69</v>
      </c>
      <c r="H88" s="25">
        <v>1</v>
      </c>
      <c r="I88" s="26">
        <v>12000</v>
      </c>
    </row>
    <row r="89" spans="2:15" x14ac:dyDescent="0.3">
      <c r="B89" s="120" t="s">
        <v>162</v>
      </c>
      <c r="C89" s="121"/>
      <c r="D89" s="121"/>
      <c r="E89" s="121"/>
      <c r="F89" s="121"/>
      <c r="G89" s="121"/>
      <c r="H89" s="122"/>
      <c r="I89" s="40">
        <f>SUM(I82:I88)</f>
        <v>30817.729820000004</v>
      </c>
    </row>
    <row r="90" spans="2:15" ht="15.75" customHeight="1" x14ac:dyDescent="0.3">
      <c r="B90" s="138" t="s">
        <v>163</v>
      </c>
      <c r="C90" s="139"/>
      <c r="D90" s="139"/>
      <c r="E90" s="139"/>
      <c r="F90" s="139"/>
      <c r="G90" s="139"/>
      <c r="H90" s="140"/>
      <c r="I90" s="31">
        <f>I15+I21+I28+I35+I40+I45+I51+I58+I64+I73+I80+I89</f>
        <v>145544.63675000001</v>
      </c>
    </row>
    <row r="91" spans="2:15" x14ac:dyDescent="0.3">
      <c r="B91" s="21"/>
      <c r="C91" s="21"/>
      <c r="D91" s="22"/>
      <c r="E91" s="22"/>
      <c r="F91" s="22"/>
      <c r="G91" s="22"/>
      <c r="H91" s="22"/>
      <c r="I91" s="23"/>
    </row>
    <row r="92" spans="2:15" x14ac:dyDescent="0.3">
      <c r="B92" s="14"/>
      <c r="C92" s="14"/>
      <c r="D92" s="14"/>
      <c r="E92" s="14"/>
      <c r="F92" s="14"/>
      <c r="G92" s="14"/>
      <c r="H92" s="14"/>
      <c r="I92" s="14"/>
    </row>
    <row r="93" spans="2:15" ht="29.25" customHeight="1" x14ac:dyDescent="0.3">
      <c r="B93" s="132"/>
      <c r="C93" s="132"/>
      <c r="D93" s="132"/>
      <c r="E93" s="132"/>
      <c r="F93" s="132"/>
      <c r="G93" s="132"/>
      <c r="H93" s="132"/>
      <c r="I93" s="132"/>
    </row>
    <row r="94" spans="2:15" ht="14.4" x14ac:dyDescent="0.3">
      <c r="B94" s="105"/>
      <c r="C94" s="105"/>
      <c r="D94" s="105"/>
      <c r="E94" s="105"/>
    </row>
    <row r="95" spans="2:15" ht="14.4" x14ac:dyDescent="0.3">
      <c r="B95" s="106"/>
      <c r="C95" s="106"/>
      <c r="D95" s="106"/>
      <c r="E95" s="106"/>
      <c r="G95" s="106"/>
      <c r="H95" s="106"/>
      <c r="I95" s="106"/>
    </row>
  </sheetData>
  <mergeCells count="92">
    <mergeCell ref="D31:E31"/>
    <mergeCell ref="H8:H9"/>
    <mergeCell ref="I8:I9"/>
    <mergeCell ref="B93:I93"/>
    <mergeCell ref="D8:E9"/>
    <mergeCell ref="B8:B9"/>
    <mergeCell ref="C8:C9"/>
    <mergeCell ref="F8:F9"/>
    <mergeCell ref="G8:G9"/>
    <mergeCell ref="B90:H90"/>
    <mergeCell ref="B10:I10"/>
    <mergeCell ref="D11:E11"/>
    <mergeCell ref="D12:E12"/>
    <mergeCell ref="D13:E13"/>
    <mergeCell ref="D18:E18"/>
    <mergeCell ref="B28:H28"/>
    <mergeCell ref="B29:I29"/>
    <mergeCell ref="D30:E30"/>
    <mergeCell ref="B22:I22"/>
    <mergeCell ref="D23:E23"/>
    <mergeCell ref="D27:E27"/>
    <mergeCell ref="D24:E24"/>
    <mergeCell ref="B15:H15"/>
    <mergeCell ref="B16:I16"/>
    <mergeCell ref="D17:E17"/>
    <mergeCell ref="D20:E20"/>
    <mergeCell ref="B21:H21"/>
    <mergeCell ref="D33:E33"/>
    <mergeCell ref="D38:E38"/>
    <mergeCell ref="B80:H80"/>
    <mergeCell ref="D78:E78"/>
    <mergeCell ref="G95:I95"/>
    <mergeCell ref="B45:H45"/>
    <mergeCell ref="B40:H40"/>
    <mergeCell ref="B41:I41"/>
    <mergeCell ref="D42:E42"/>
    <mergeCell ref="D44:E44"/>
    <mergeCell ref="D43:E43"/>
    <mergeCell ref="D62:E62"/>
    <mergeCell ref="D63:E63"/>
    <mergeCell ref="B64:H64"/>
    <mergeCell ref="D61:E61"/>
    <mergeCell ref="D77:E77"/>
    <mergeCell ref="D34:E34"/>
    <mergeCell ref="B94:E94"/>
    <mergeCell ref="B95:E95"/>
    <mergeCell ref="B35:H35"/>
    <mergeCell ref="B36:I36"/>
    <mergeCell ref="D37:E37"/>
    <mergeCell ref="D39:E39"/>
    <mergeCell ref="B89:H89"/>
    <mergeCell ref="D88:E88"/>
    <mergeCell ref="D87:E87"/>
    <mergeCell ref="B65:I65"/>
    <mergeCell ref="D66:E66"/>
    <mergeCell ref="D72:E72"/>
    <mergeCell ref="B73:H73"/>
    <mergeCell ref="D68:E68"/>
    <mergeCell ref="D76:E76"/>
    <mergeCell ref="D71:E71"/>
    <mergeCell ref="D84:E84"/>
    <mergeCell ref="D85:E85"/>
    <mergeCell ref="D86:E86"/>
    <mergeCell ref="D83:E83"/>
    <mergeCell ref="D82:E82"/>
    <mergeCell ref="D14:E14"/>
    <mergeCell ref="D19:E19"/>
    <mergeCell ref="D26:E26"/>
    <mergeCell ref="D25:E25"/>
    <mergeCell ref="B81:I81"/>
    <mergeCell ref="B59:I59"/>
    <mergeCell ref="D60:E60"/>
    <mergeCell ref="B52:I52"/>
    <mergeCell ref="D53:E53"/>
    <mergeCell ref="D55:E55"/>
    <mergeCell ref="D57:E57"/>
    <mergeCell ref="B58:H58"/>
    <mergeCell ref="B74:I74"/>
    <mergeCell ref="D75:E75"/>
    <mergeCell ref="D79:E79"/>
    <mergeCell ref="D32:E32"/>
    <mergeCell ref="B46:I46"/>
    <mergeCell ref="D47:E47"/>
    <mergeCell ref="D48:E48"/>
    <mergeCell ref="D49:E49"/>
    <mergeCell ref="D50:E50"/>
    <mergeCell ref="B51:H51"/>
    <mergeCell ref="D54:E54"/>
    <mergeCell ref="D56:E56"/>
    <mergeCell ref="D67:E67"/>
    <mergeCell ref="D70:E70"/>
    <mergeCell ref="D69:E69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5"/>
  <sheetViews>
    <sheetView zoomScaleNormal="100" workbookViewId="0">
      <selection activeCell="M7" sqref="M7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73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161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74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35" t="s">
        <v>20</v>
      </c>
      <c r="C8" s="128" t="s">
        <v>27</v>
      </c>
      <c r="D8" s="133" t="s">
        <v>21</v>
      </c>
      <c r="E8" s="130"/>
      <c r="F8" s="128" t="s">
        <v>22</v>
      </c>
      <c r="G8" s="128" t="s">
        <v>23</v>
      </c>
      <c r="H8" s="128" t="s">
        <v>24</v>
      </c>
      <c r="I8" s="130" t="s">
        <v>26</v>
      </c>
    </row>
    <row r="9" spans="2:10" ht="24" customHeight="1" x14ac:dyDescent="0.3">
      <c r="B9" s="136"/>
      <c r="C9" s="129"/>
      <c r="D9" s="134"/>
      <c r="E9" s="131"/>
      <c r="F9" s="137"/>
      <c r="G9" s="137"/>
      <c r="H9" s="129"/>
      <c r="I9" s="131"/>
    </row>
    <row r="10" spans="2:10" x14ac:dyDescent="0.3">
      <c r="B10" s="125" t="s">
        <v>117</v>
      </c>
      <c r="C10" s="126"/>
      <c r="D10" s="126"/>
      <c r="E10" s="126"/>
      <c r="F10" s="126"/>
      <c r="G10" s="126"/>
      <c r="H10" s="126"/>
      <c r="I10" s="127"/>
    </row>
    <row r="11" spans="2:10" x14ac:dyDescent="0.3">
      <c r="B11" s="19">
        <v>1</v>
      </c>
      <c r="C11" s="20" t="s">
        <v>118</v>
      </c>
      <c r="D11" s="123" t="s">
        <v>30</v>
      </c>
      <c r="E11" s="124"/>
      <c r="F11" s="24" t="s">
        <v>121</v>
      </c>
      <c r="G11" s="25" t="s">
        <v>69</v>
      </c>
      <c r="H11" s="25">
        <v>1</v>
      </c>
      <c r="I11" s="26">
        <v>9974</v>
      </c>
    </row>
    <row r="12" spans="2:10" x14ac:dyDescent="0.3">
      <c r="B12" s="120" t="s">
        <v>119</v>
      </c>
      <c r="C12" s="121"/>
      <c r="D12" s="121"/>
      <c r="E12" s="121"/>
      <c r="F12" s="121"/>
      <c r="G12" s="121"/>
      <c r="H12" s="122"/>
      <c r="I12" s="40">
        <f>SUM(I11:I11)</f>
        <v>9974</v>
      </c>
    </row>
    <row r="13" spans="2:10" ht="12.75" customHeight="1" x14ac:dyDescent="0.3">
      <c r="B13" s="125" t="s">
        <v>130</v>
      </c>
      <c r="C13" s="126"/>
      <c r="D13" s="126"/>
      <c r="E13" s="126"/>
      <c r="F13" s="126"/>
      <c r="G13" s="126"/>
      <c r="H13" s="126"/>
      <c r="I13" s="127"/>
    </row>
    <row r="14" spans="2:10" ht="26.4" x14ac:dyDescent="0.3">
      <c r="B14" s="19">
        <v>1</v>
      </c>
      <c r="C14" s="20" t="s">
        <v>131</v>
      </c>
      <c r="D14" s="123" t="s">
        <v>30</v>
      </c>
      <c r="E14" s="124"/>
      <c r="F14" s="24" t="s">
        <v>133</v>
      </c>
      <c r="G14" s="25" t="s">
        <v>69</v>
      </c>
      <c r="H14" s="25">
        <v>1</v>
      </c>
      <c r="I14" s="26">
        <v>1500</v>
      </c>
    </row>
    <row r="15" spans="2:10" ht="12.75" customHeight="1" x14ac:dyDescent="0.3">
      <c r="B15" s="120" t="s">
        <v>132</v>
      </c>
      <c r="C15" s="121"/>
      <c r="D15" s="121"/>
      <c r="E15" s="121"/>
      <c r="F15" s="121"/>
      <c r="G15" s="121"/>
      <c r="H15" s="122"/>
      <c r="I15" s="40">
        <f>SUM(I14:I14)</f>
        <v>1500</v>
      </c>
    </row>
    <row r="16" spans="2:10" ht="12.75" customHeight="1" x14ac:dyDescent="0.3">
      <c r="B16" s="125" t="s">
        <v>157</v>
      </c>
      <c r="C16" s="126"/>
      <c r="D16" s="126"/>
      <c r="E16" s="126"/>
      <c r="F16" s="126"/>
      <c r="G16" s="126"/>
      <c r="H16" s="126"/>
      <c r="I16" s="127"/>
    </row>
    <row r="17" spans="2:9" ht="26.4" x14ac:dyDescent="0.3">
      <c r="B17" s="19">
        <v>1</v>
      </c>
      <c r="C17" s="20" t="s">
        <v>160</v>
      </c>
      <c r="D17" s="123" t="s">
        <v>30</v>
      </c>
      <c r="E17" s="124"/>
      <c r="F17" s="54" t="s">
        <v>158</v>
      </c>
      <c r="G17" s="25" t="s">
        <v>69</v>
      </c>
      <c r="H17" s="25">
        <v>1</v>
      </c>
      <c r="I17" s="26">
        <v>24417</v>
      </c>
    </row>
    <row r="18" spans="2:9" ht="26.4" x14ac:dyDescent="0.3">
      <c r="B18" s="19">
        <v>2</v>
      </c>
      <c r="C18" s="20" t="s">
        <v>160</v>
      </c>
      <c r="D18" s="123" t="s">
        <v>30</v>
      </c>
      <c r="E18" s="124"/>
      <c r="F18" s="54" t="s">
        <v>159</v>
      </c>
      <c r="G18" s="25" t="s">
        <v>69</v>
      </c>
      <c r="H18" s="25">
        <v>1</v>
      </c>
      <c r="I18" s="26">
        <v>2256</v>
      </c>
    </row>
    <row r="19" spans="2:9" ht="12.75" customHeight="1" x14ac:dyDescent="0.3">
      <c r="B19" s="120" t="s">
        <v>162</v>
      </c>
      <c r="C19" s="121"/>
      <c r="D19" s="121"/>
      <c r="E19" s="121"/>
      <c r="F19" s="121"/>
      <c r="G19" s="121"/>
      <c r="H19" s="122"/>
      <c r="I19" s="40">
        <f>I17+I18</f>
        <v>26673</v>
      </c>
    </row>
    <row r="20" spans="2:9" ht="15.6" x14ac:dyDescent="0.3">
      <c r="B20" s="138" t="s">
        <v>163</v>
      </c>
      <c r="C20" s="139"/>
      <c r="D20" s="139"/>
      <c r="E20" s="139"/>
      <c r="F20" s="139"/>
      <c r="G20" s="139"/>
      <c r="H20" s="140"/>
      <c r="I20" s="31">
        <f>I12+I15+I19</f>
        <v>38147</v>
      </c>
    </row>
    <row r="21" spans="2:9" x14ac:dyDescent="0.3">
      <c r="B21" s="21"/>
      <c r="C21" s="21"/>
      <c r="D21" s="22"/>
      <c r="E21" s="22"/>
      <c r="F21" s="22"/>
      <c r="G21" s="22"/>
      <c r="H21" s="22"/>
      <c r="I21" s="23"/>
    </row>
    <row r="22" spans="2:9" x14ac:dyDescent="0.3">
      <c r="B22" s="14"/>
      <c r="C22" s="14"/>
      <c r="D22" s="14"/>
      <c r="E22" s="14"/>
      <c r="F22" s="14"/>
      <c r="G22" s="14"/>
      <c r="H22" s="14"/>
      <c r="I22" s="14"/>
    </row>
    <row r="23" spans="2:9" ht="29.25" customHeight="1" x14ac:dyDescent="0.3">
      <c r="B23" s="132"/>
      <c r="C23" s="132"/>
      <c r="D23" s="132"/>
      <c r="E23" s="132"/>
      <c r="F23" s="132"/>
      <c r="G23" s="132"/>
      <c r="H23" s="132"/>
      <c r="I23" s="132"/>
    </row>
    <row r="24" spans="2:9" ht="14.4" x14ac:dyDescent="0.3">
      <c r="B24" s="105"/>
      <c r="C24" s="105"/>
      <c r="D24" s="105"/>
      <c r="E24" s="105"/>
    </row>
    <row r="25" spans="2:9" ht="14.4" x14ac:dyDescent="0.3">
      <c r="B25" s="106"/>
      <c r="C25" s="106"/>
      <c r="D25" s="106"/>
      <c r="E25" s="106"/>
      <c r="G25" s="106"/>
      <c r="H25" s="106"/>
      <c r="I25" s="106"/>
    </row>
  </sheetData>
  <mergeCells count="22">
    <mergeCell ref="H8:H9"/>
    <mergeCell ref="I8:I9"/>
    <mergeCell ref="B23:I23"/>
    <mergeCell ref="B20:H20"/>
    <mergeCell ref="B24:E24"/>
    <mergeCell ref="B19:H19"/>
    <mergeCell ref="D11:E11"/>
    <mergeCell ref="B8:B9"/>
    <mergeCell ref="C8:C9"/>
    <mergeCell ref="D8:E9"/>
    <mergeCell ref="F8:F9"/>
    <mergeCell ref="G8:G9"/>
    <mergeCell ref="B12:H12"/>
    <mergeCell ref="B10:I10"/>
    <mergeCell ref="B16:I16"/>
    <mergeCell ref="B13:I13"/>
    <mergeCell ref="D14:E14"/>
    <mergeCell ref="B25:E25"/>
    <mergeCell ref="G25:I25"/>
    <mergeCell ref="D18:E18"/>
    <mergeCell ref="D17:E17"/>
    <mergeCell ref="B15:H1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9"/>
  <sheetViews>
    <sheetView showRuler="0" zoomScaleNormal="100" workbookViewId="0">
      <selection activeCell="M49" sqref="M49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41" t="s">
        <v>70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x14ac:dyDescent="0.3">
      <c r="A2" s="141" t="s">
        <v>78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x14ac:dyDescent="0.3">
      <c r="A3" s="142" t="s">
        <v>165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x14ac:dyDescent="0.3">
      <c r="A4" s="62" t="s">
        <v>80</v>
      </c>
      <c r="B4" s="68"/>
      <c r="C4" s="68"/>
      <c r="D4" s="63"/>
      <c r="E4" s="62" t="s">
        <v>81</v>
      </c>
      <c r="F4" s="68"/>
      <c r="G4" s="68"/>
      <c r="H4" s="68"/>
      <c r="I4" s="63"/>
      <c r="J4" s="62" t="s">
        <v>91</v>
      </c>
      <c r="K4" s="68"/>
      <c r="L4" s="68"/>
      <c r="M4" s="63"/>
    </row>
    <row r="5" spans="1:13" x14ac:dyDescent="0.3">
      <c r="A5" s="62" t="s">
        <v>77</v>
      </c>
      <c r="B5" s="63"/>
      <c r="C5" s="62" t="s">
        <v>82</v>
      </c>
      <c r="D5" s="68"/>
      <c r="E5" s="68"/>
      <c r="F5" s="68"/>
      <c r="G5" s="68"/>
      <c r="H5" s="63"/>
      <c r="I5" s="62" t="s">
        <v>83</v>
      </c>
      <c r="J5" s="68"/>
      <c r="K5" s="68"/>
      <c r="L5" s="68"/>
      <c r="M5" s="63"/>
    </row>
    <row r="6" spans="1:13" x14ac:dyDescent="0.3">
      <c r="A6" s="62" t="s">
        <v>84</v>
      </c>
      <c r="B6" s="68"/>
      <c r="C6" s="68"/>
      <c r="D6" s="68"/>
      <c r="E6" s="68"/>
      <c r="F6" s="68"/>
      <c r="G6" s="63"/>
      <c r="H6" s="62" t="s">
        <v>85</v>
      </c>
      <c r="I6" s="68"/>
      <c r="J6" s="68"/>
      <c r="K6" s="68"/>
      <c r="L6" s="68"/>
      <c r="M6" s="63"/>
    </row>
    <row r="7" spans="1:13" x14ac:dyDescent="0.3">
      <c r="A7" s="60" t="s">
        <v>86</v>
      </c>
      <c r="B7" s="60"/>
      <c r="C7" s="60"/>
      <c r="D7" s="60"/>
      <c r="E7" s="60" t="s">
        <v>87</v>
      </c>
      <c r="F7" s="60"/>
      <c r="G7" s="60"/>
      <c r="H7" s="60"/>
      <c r="I7" s="60"/>
      <c r="J7" s="60"/>
      <c r="K7" s="60" t="s">
        <v>88</v>
      </c>
      <c r="L7" s="60"/>
      <c r="M7" s="60"/>
    </row>
    <row r="8" spans="1:13" x14ac:dyDescent="0.3">
      <c r="A8" s="60" t="s">
        <v>89</v>
      </c>
      <c r="B8" s="60"/>
      <c r="C8" s="60"/>
      <c r="D8" s="60"/>
      <c r="E8" s="60"/>
      <c r="F8" s="60"/>
      <c r="G8" s="60"/>
      <c r="H8" s="68" t="s">
        <v>90</v>
      </c>
      <c r="I8" s="68"/>
      <c r="J8" s="68"/>
      <c r="K8" s="68"/>
      <c r="L8" s="68"/>
      <c r="M8" s="63"/>
    </row>
    <row r="9" spans="1:13" x14ac:dyDescent="0.3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ht="38.25" customHeight="1" x14ac:dyDescent="0.3">
      <c r="A10" s="146" t="s">
        <v>34</v>
      </c>
      <c r="B10" s="146"/>
      <c r="C10" s="146"/>
      <c r="D10" s="146"/>
      <c r="E10" s="147" t="s">
        <v>35</v>
      </c>
      <c r="F10" s="147"/>
      <c r="G10" s="143" t="s">
        <v>36</v>
      </c>
      <c r="H10" s="144"/>
      <c r="I10" s="145"/>
      <c r="J10" s="143" t="s">
        <v>37</v>
      </c>
      <c r="K10" s="144"/>
      <c r="L10" s="145"/>
      <c r="M10" s="34" t="s">
        <v>38</v>
      </c>
    </row>
    <row r="11" spans="1:13" x14ac:dyDescent="0.3">
      <c r="A11" s="182" t="s">
        <v>39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4"/>
    </row>
    <row r="12" spans="1:13" x14ac:dyDescent="0.3">
      <c r="A12" s="185" t="s">
        <v>40</v>
      </c>
      <c r="B12" s="186"/>
      <c r="C12" s="186"/>
      <c r="D12" s="187"/>
      <c r="E12" s="150">
        <v>12920.41</v>
      </c>
      <c r="F12" s="64"/>
      <c r="G12" s="179">
        <v>122549.16</v>
      </c>
      <c r="H12" s="188"/>
      <c r="I12" s="189"/>
      <c r="J12" s="179">
        <v>119750.93</v>
      </c>
      <c r="K12" s="188"/>
      <c r="L12" s="189"/>
      <c r="M12" s="36">
        <v>15723.46</v>
      </c>
    </row>
    <row r="13" spans="1:13" ht="14.25" customHeight="1" x14ac:dyDescent="0.3">
      <c r="A13" s="161" t="s">
        <v>41</v>
      </c>
      <c r="B13" s="162"/>
      <c r="C13" s="162"/>
      <c r="D13" s="178"/>
      <c r="E13" s="150">
        <v>12920.4</v>
      </c>
      <c r="F13" s="150"/>
      <c r="G13" s="150">
        <v>122549.16</v>
      </c>
      <c r="H13" s="150"/>
      <c r="I13" s="150"/>
      <c r="J13" s="179">
        <v>119750.89</v>
      </c>
      <c r="K13" s="188"/>
      <c r="L13" s="189"/>
      <c r="M13" s="36">
        <v>15723.49</v>
      </c>
    </row>
    <row r="14" spans="1:13" ht="21" customHeight="1" x14ac:dyDescent="0.3">
      <c r="A14" s="78" t="s">
        <v>42</v>
      </c>
      <c r="B14" s="79"/>
      <c r="C14" s="79"/>
      <c r="D14" s="80"/>
      <c r="E14" s="151"/>
      <c r="F14" s="153"/>
      <c r="G14" s="151">
        <f>SUM(G12:G13)</f>
        <v>245098.32</v>
      </c>
      <c r="H14" s="152"/>
      <c r="I14" s="153"/>
      <c r="J14" s="151">
        <f>SUM(J12:J13)</f>
        <v>239501.82</v>
      </c>
      <c r="K14" s="79"/>
      <c r="L14" s="80"/>
      <c r="M14" s="37">
        <f>SUM(M12:M13)</f>
        <v>31446.949999999997</v>
      </c>
    </row>
    <row r="15" spans="1:13" x14ac:dyDescent="0.3">
      <c r="A15" s="64" t="s">
        <v>16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48">
        <v>6289.42</v>
      </c>
    </row>
    <row r="16" spans="1:13" x14ac:dyDescent="0.3">
      <c r="A16" s="78" t="s">
        <v>92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  <c r="M16" s="48">
        <v>3712.48</v>
      </c>
    </row>
    <row r="17" spans="1:13" x14ac:dyDescent="0.3">
      <c r="A17" s="78" t="s">
        <v>93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  <c r="M17" s="50">
        <v>181.41</v>
      </c>
    </row>
    <row r="18" spans="1:13" x14ac:dyDescent="0.3">
      <c r="A18" s="78" t="s">
        <v>94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80"/>
      <c r="M18" s="48">
        <v>22.73</v>
      </c>
    </row>
    <row r="19" spans="1:13" x14ac:dyDescent="0.3">
      <c r="A19" s="78" t="s">
        <v>95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0"/>
      <c r="M19" s="48">
        <f>1424.31+6816.92</f>
        <v>8241.23</v>
      </c>
    </row>
    <row r="20" spans="1:13" x14ac:dyDescent="0.3">
      <c r="A20" s="65" t="s">
        <v>96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7"/>
      <c r="M20" s="48">
        <f>2136.48+8989.76</f>
        <v>11126.24</v>
      </c>
    </row>
    <row r="21" spans="1:13" x14ac:dyDescent="0.3">
      <c r="A21" s="78" t="s">
        <v>56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51">
        <v>202.05</v>
      </c>
    </row>
    <row r="22" spans="1:13" x14ac:dyDescent="0.3">
      <c r="A22" s="182" t="s">
        <v>43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4"/>
    </row>
    <row r="23" spans="1:13" x14ac:dyDescent="0.3">
      <c r="A23" s="190" t="s">
        <v>13</v>
      </c>
      <c r="B23" s="191"/>
      <c r="C23" s="191"/>
      <c r="D23" s="192"/>
      <c r="E23" s="179">
        <v>177.82</v>
      </c>
      <c r="F23" s="189"/>
      <c r="G23" s="179">
        <v>2418.6799999999998</v>
      </c>
      <c r="H23" s="188"/>
      <c r="I23" s="189"/>
      <c r="J23" s="179">
        <v>2277.89</v>
      </c>
      <c r="K23" s="180"/>
      <c r="L23" s="181"/>
      <c r="M23" s="57">
        <v>318.61</v>
      </c>
    </row>
    <row r="24" spans="1:13" ht="14.25" customHeight="1" x14ac:dyDescent="0.3">
      <c r="A24" s="78" t="s">
        <v>14</v>
      </c>
      <c r="B24" s="79"/>
      <c r="C24" s="79"/>
      <c r="D24" s="80"/>
      <c r="E24" s="150">
        <v>79.27</v>
      </c>
      <c r="F24" s="150"/>
      <c r="G24" s="151">
        <v>781.56</v>
      </c>
      <c r="H24" s="152"/>
      <c r="I24" s="153"/>
      <c r="J24" s="179">
        <v>761.94</v>
      </c>
      <c r="K24" s="180"/>
      <c r="L24" s="181"/>
      <c r="M24" s="56">
        <v>98.89</v>
      </c>
    </row>
    <row r="25" spans="1:13" x14ac:dyDescent="0.3">
      <c r="A25" s="78" t="s">
        <v>15</v>
      </c>
      <c r="B25" s="79"/>
      <c r="C25" s="79"/>
      <c r="D25" s="80"/>
      <c r="E25" s="150">
        <v>1253.29</v>
      </c>
      <c r="F25" s="150"/>
      <c r="G25" s="78">
        <v>23180.560000000001</v>
      </c>
      <c r="H25" s="79"/>
      <c r="I25" s="80"/>
      <c r="J25" s="179">
        <v>21496.880000000001</v>
      </c>
      <c r="K25" s="180"/>
      <c r="L25" s="181"/>
      <c r="M25" s="4">
        <v>2936.97</v>
      </c>
    </row>
    <row r="26" spans="1:13" x14ac:dyDescent="0.3">
      <c r="A26" s="161" t="s">
        <v>97</v>
      </c>
      <c r="B26" s="79"/>
      <c r="C26" s="79"/>
      <c r="D26" s="80"/>
      <c r="E26" s="151">
        <v>2981.09</v>
      </c>
      <c r="F26" s="153"/>
      <c r="G26" s="78">
        <v>27767.39</v>
      </c>
      <c r="H26" s="79"/>
      <c r="I26" s="80"/>
      <c r="J26" s="179">
        <v>27652.959999999999</v>
      </c>
      <c r="K26" s="180"/>
      <c r="L26" s="181"/>
      <c r="M26" s="56">
        <v>3095.52</v>
      </c>
    </row>
    <row r="27" spans="1:13" ht="27.75" customHeight="1" x14ac:dyDescent="0.3">
      <c r="A27" s="161" t="s">
        <v>44</v>
      </c>
      <c r="B27" s="162"/>
      <c r="C27" s="162"/>
      <c r="D27" s="178"/>
      <c r="E27" s="150"/>
      <c r="F27" s="150"/>
      <c r="G27" s="151">
        <f>SUM(G23:G26)</f>
        <v>54148.19</v>
      </c>
      <c r="H27" s="152"/>
      <c r="I27" s="153"/>
      <c r="J27" s="151">
        <f>SUM(J23:J26)</f>
        <v>52189.67</v>
      </c>
      <c r="K27" s="79"/>
      <c r="L27" s="80"/>
      <c r="M27" s="36">
        <f>SUM(M23:M26)</f>
        <v>6449.99</v>
      </c>
    </row>
    <row r="28" spans="1:13" ht="18.75" customHeight="1" x14ac:dyDescent="0.3">
      <c r="A28" s="161" t="s">
        <v>9</v>
      </c>
      <c r="B28" s="162"/>
      <c r="C28" s="162"/>
      <c r="D28" s="162"/>
      <c r="E28" s="150"/>
      <c r="F28" s="150"/>
      <c r="G28" s="151"/>
      <c r="H28" s="152"/>
      <c r="I28" s="153"/>
      <c r="J28" s="78"/>
      <c r="K28" s="79"/>
      <c r="L28" s="80"/>
      <c r="M28" s="36">
        <f>M14+M15+M16+M17+M18+M19+M20+M21+M27</f>
        <v>67672.5</v>
      </c>
    </row>
    <row r="29" spans="1:13" ht="17.25" customHeight="1" x14ac:dyDescent="0.3">
      <c r="A29" s="158" t="s">
        <v>45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60"/>
    </row>
    <row r="30" spans="1:13" x14ac:dyDescent="0.3">
      <c r="A30" s="5" t="s">
        <v>20</v>
      </c>
      <c r="B30" s="146" t="s">
        <v>46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77" t="s">
        <v>47</v>
      </c>
      <c r="M30" s="177"/>
    </row>
    <row r="31" spans="1:13" x14ac:dyDescent="0.3">
      <c r="A31" s="32">
        <v>1</v>
      </c>
      <c r="B31" s="157" t="s">
        <v>28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1">
        <f>5058.45*12</f>
        <v>60701.399999999994</v>
      </c>
      <c r="M31" s="153"/>
    </row>
    <row r="32" spans="1:13" ht="15.75" customHeight="1" x14ac:dyDescent="0.3">
      <c r="A32" s="32">
        <v>2</v>
      </c>
      <c r="B32" s="157" t="s">
        <v>32</v>
      </c>
      <c r="C32" s="157"/>
      <c r="D32" s="157"/>
      <c r="E32" s="157"/>
      <c r="F32" s="157"/>
      <c r="G32" s="157"/>
      <c r="H32" s="157"/>
      <c r="I32" s="157"/>
      <c r="J32" s="157"/>
      <c r="K32" s="157"/>
      <c r="L32" s="78">
        <v>18182.04</v>
      </c>
      <c r="M32" s="80"/>
    </row>
    <row r="33" spans="1:18" ht="15.6" x14ac:dyDescent="0.3">
      <c r="A33" s="32">
        <v>3</v>
      </c>
      <c r="B33" s="157" t="s">
        <v>112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0">
        <f>187.35*12</f>
        <v>2248.1999999999998</v>
      </c>
      <c r="M33" s="150"/>
      <c r="R33" s="49"/>
    </row>
    <row r="34" spans="1:18" x14ac:dyDescent="0.3">
      <c r="A34" s="32">
        <v>4</v>
      </c>
      <c r="B34" s="66" t="s">
        <v>75</v>
      </c>
      <c r="C34" s="66"/>
      <c r="D34" s="66"/>
      <c r="E34" s="66"/>
      <c r="F34" s="66"/>
      <c r="G34" s="66"/>
      <c r="H34" s="66"/>
      <c r="I34" s="66"/>
      <c r="J34" s="66"/>
      <c r="K34" s="67"/>
      <c r="L34" s="151">
        <f>'РЕМОНТ ЖИЛЬЯ'!I20</f>
        <v>38147</v>
      </c>
      <c r="M34" s="153"/>
    </row>
    <row r="35" spans="1:18" x14ac:dyDescent="0.3">
      <c r="A35" s="32">
        <v>5</v>
      </c>
      <c r="B35" s="65" t="s">
        <v>76</v>
      </c>
      <c r="C35" s="66"/>
      <c r="D35" s="66"/>
      <c r="E35" s="66"/>
      <c r="F35" s="66"/>
      <c r="G35" s="66"/>
      <c r="H35" s="66"/>
      <c r="I35" s="66"/>
      <c r="J35" s="66"/>
      <c r="K35" s="67"/>
      <c r="L35" s="151">
        <v>64413</v>
      </c>
      <c r="M35" s="153"/>
    </row>
    <row r="36" spans="1:18" x14ac:dyDescent="0.3">
      <c r="A36" s="154" t="s">
        <v>48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6"/>
      <c r="L36" s="148">
        <f>SUM(L31:L35)</f>
        <v>183691.64</v>
      </c>
      <c r="M36" s="149"/>
    </row>
    <row r="37" spans="1:18" x14ac:dyDescent="0.3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9"/>
      <c r="L37" s="176"/>
      <c r="M37" s="176"/>
    </row>
    <row r="38" spans="1:18" x14ac:dyDescent="0.3">
      <c r="A38" s="163" t="s">
        <v>49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5"/>
      <c r="L38" s="171">
        <v>-22742.27</v>
      </c>
      <c r="M38" s="172"/>
    </row>
    <row r="39" spans="1:18" x14ac:dyDescent="0.3">
      <c r="A39" s="163" t="s">
        <v>53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5"/>
      <c r="L39" s="171">
        <f>M28</f>
        <v>67672.5</v>
      </c>
      <c r="M39" s="172"/>
    </row>
    <row r="40" spans="1:18" x14ac:dyDescent="0.3">
      <c r="A40" s="163" t="s">
        <v>50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5"/>
      <c r="L40" s="171">
        <f>J14</f>
        <v>239501.82</v>
      </c>
      <c r="M40" s="172"/>
    </row>
    <row r="41" spans="1:18" x14ac:dyDescent="0.3">
      <c r="A41" s="163" t="s">
        <v>51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5"/>
      <c r="L41" s="171">
        <f>L36</f>
        <v>183691.64</v>
      </c>
      <c r="M41" s="172"/>
    </row>
    <row r="42" spans="1:18" x14ac:dyDescent="0.3">
      <c r="A42" s="163" t="s">
        <v>52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5"/>
      <c r="L42" s="171">
        <f>L38+L40-L41</f>
        <v>33067.910000000003</v>
      </c>
      <c r="M42" s="173"/>
      <c r="O42" s="42"/>
    </row>
    <row r="43" spans="1:18" x14ac:dyDescent="0.3">
      <c r="A43" s="33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</row>
    <row r="44" spans="1:18" x14ac:dyDescent="0.3">
      <c r="A44" s="35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66"/>
      <c r="M44" s="166"/>
    </row>
    <row r="45" spans="1:18" x14ac:dyDescent="0.3">
      <c r="A45" s="35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</row>
    <row r="46" spans="1:18" x14ac:dyDescent="0.3">
      <c r="A46" s="35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</row>
    <row r="47" spans="1:18" x14ac:dyDescent="0.3">
      <c r="A47" s="1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"/>
      <c r="M47" s="1"/>
    </row>
    <row r="48" spans="1:18" x14ac:dyDescent="0.3">
      <c r="A48" s="1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104">
    <mergeCell ref="A23:D23"/>
    <mergeCell ref="A15:L15"/>
    <mergeCell ref="A16:L16"/>
    <mergeCell ref="A17:L17"/>
    <mergeCell ref="E13:F13"/>
    <mergeCell ref="A14:D14"/>
    <mergeCell ref="E14:F14"/>
    <mergeCell ref="G14:I14"/>
    <mergeCell ref="A11:M11"/>
    <mergeCell ref="A12:D12"/>
    <mergeCell ref="E12:F12"/>
    <mergeCell ref="J14:L14"/>
    <mergeCell ref="J12:L12"/>
    <mergeCell ref="A13:D13"/>
    <mergeCell ref="E27:F27"/>
    <mergeCell ref="E25:F25"/>
    <mergeCell ref="E24:F24"/>
    <mergeCell ref="A22:M22"/>
    <mergeCell ref="G12:I12"/>
    <mergeCell ref="G13:I13"/>
    <mergeCell ref="J13:L13"/>
    <mergeCell ref="A21:L21"/>
    <mergeCell ref="A18:L18"/>
    <mergeCell ref="A19:L19"/>
    <mergeCell ref="A20:L20"/>
    <mergeCell ref="A26:D26"/>
    <mergeCell ref="E26:F26"/>
    <mergeCell ref="G26:I26"/>
    <mergeCell ref="J26:L26"/>
    <mergeCell ref="E23:F23"/>
    <mergeCell ref="G23:I23"/>
    <mergeCell ref="J23:L23"/>
    <mergeCell ref="G27:I27"/>
    <mergeCell ref="J27:L27"/>
    <mergeCell ref="A27:D27"/>
    <mergeCell ref="A24:D24"/>
    <mergeCell ref="G24:I24"/>
    <mergeCell ref="J24:L24"/>
    <mergeCell ref="A25:D25"/>
    <mergeCell ref="G25:I25"/>
    <mergeCell ref="J25:L25"/>
    <mergeCell ref="A40:K40"/>
    <mergeCell ref="A41:K41"/>
    <mergeCell ref="B45:K45"/>
    <mergeCell ref="A37:K37"/>
    <mergeCell ref="A38:K38"/>
    <mergeCell ref="B47:K47"/>
    <mergeCell ref="B48:K48"/>
    <mergeCell ref="L48:M48"/>
    <mergeCell ref="A39:K39"/>
    <mergeCell ref="L39:M39"/>
    <mergeCell ref="L41:M41"/>
    <mergeCell ref="L42:M42"/>
    <mergeCell ref="L43:M43"/>
    <mergeCell ref="L44:M44"/>
    <mergeCell ref="L45:M45"/>
    <mergeCell ref="L46:M46"/>
    <mergeCell ref="L40:M40"/>
    <mergeCell ref="B43:K43"/>
    <mergeCell ref="B44:K44"/>
    <mergeCell ref="B46:K46"/>
    <mergeCell ref="A42:K42"/>
    <mergeCell ref="L37:M37"/>
    <mergeCell ref="L38:M38"/>
    <mergeCell ref="L36:M36"/>
    <mergeCell ref="E28:F28"/>
    <mergeCell ref="G28:I28"/>
    <mergeCell ref="J28:L28"/>
    <mergeCell ref="A36:K36"/>
    <mergeCell ref="B32:K32"/>
    <mergeCell ref="L31:M31"/>
    <mergeCell ref="L32:M32"/>
    <mergeCell ref="A29:M29"/>
    <mergeCell ref="L33:M33"/>
    <mergeCell ref="B30:K30"/>
    <mergeCell ref="B34:K34"/>
    <mergeCell ref="L34:M34"/>
    <mergeCell ref="B35:K35"/>
    <mergeCell ref="L35:M35"/>
    <mergeCell ref="A28:D28"/>
    <mergeCell ref="B33:K33"/>
    <mergeCell ref="L30:M30"/>
    <mergeCell ref="B31:K31"/>
    <mergeCell ref="A1:M1"/>
    <mergeCell ref="A2:M2"/>
    <mergeCell ref="A3:M3"/>
    <mergeCell ref="G10:I10"/>
    <mergeCell ref="J10:L10"/>
    <mergeCell ref="A10:D10"/>
    <mergeCell ref="E10:F10"/>
    <mergeCell ref="A9:M9"/>
    <mergeCell ref="A4:D4"/>
    <mergeCell ref="E4:I4"/>
    <mergeCell ref="J4:M4"/>
    <mergeCell ref="A5:B5"/>
    <mergeCell ref="C5:H5"/>
    <mergeCell ref="I5:M5"/>
    <mergeCell ref="A6:G6"/>
    <mergeCell ref="H6:M6"/>
    <mergeCell ref="A7:D7"/>
    <mergeCell ref="E7:J7"/>
    <mergeCell ref="K7:M7"/>
    <mergeCell ref="A8:G8"/>
    <mergeCell ref="H8:M8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Энгельса 3</vt:lpstr>
      <vt:lpstr>СОДЕРЖАНИЕ ЖИЛЬЯ</vt:lpstr>
      <vt:lpstr>РЕМОНТ ЖИЛЬЯ</vt:lpstr>
      <vt:lpstr>ОТЧЕТ Энгельса 3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2024-03-28T15:29:02Z</dcterms:modified>
</cp:coreProperties>
</file>