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ы 2023 югдомкомфорт\"/>
    </mc:Choice>
  </mc:AlternateContent>
  <xr:revisionPtr revIDLastSave="0" documentId="13_ncr:1_{C442ABBA-B691-4D8E-A138-DE9B3CE629F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цевой счет  7-й Новый 100-1" sheetId="1" r:id="rId1"/>
    <sheet name="СОДЕРЖАНИЕ ЖИЛЬЯ" sheetId="2" r:id="rId2"/>
    <sheet name="ОТЧЕТ 7-й Новый 100-1на подпись" sheetId="4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4" l="1"/>
  <c r="L28" i="4" l="1"/>
  <c r="I12" i="2"/>
  <c r="I113" i="2" l="1"/>
  <c r="I106" i="2"/>
  <c r="I97" i="2"/>
  <c r="I89" i="2" l="1"/>
  <c r="I22" i="2" l="1"/>
  <c r="I33" i="2" s="1"/>
  <c r="I42" i="2" s="1"/>
  <c r="I56" i="2" s="1"/>
  <c r="I67" i="2" s="1"/>
  <c r="I76" i="2" s="1"/>
  <c r="I85" i="2" s="1"/>
  <c r="I94" i="2" s="1"/>
  <c r="I107" i="2" s="1"/>
  <c r="I114" i="2" s="1"/>
  <c r="I84" i="2"/>
  <c r="I75" i="2"/>
  <c r="I66" i="2"/>
  <c r="I55" i="2"/>
  <c r="I41" i="2"/>
  <c r="I32" i="2"/>
  <c r="I21" i="2"/>
  <c r="I11" i="2"/>
  <c r="I19" i="2" l="1"/>
  <c r="K32" i="1"/>
  <c r="I32" i="1"/>
  <c r="K31" i="1"/>
  <c r="I31" i="1"/>
  <c r="K30" i="1"/>
  <c r="I30" i="1"/>
  <c r="K29" i="1"/>
  <c r="I29" i="1"/>
  <c r="K28" i="1"/>
  <c r="I28" i="1"/>
  <c r="G24" i="1"/>
  <c r="E24" i="1"/>
  <c r="C13" i="1"/>
  <c r="I12" i="1" l="1"/>
  <c r="L33" i="4"/>
  <c r="K12" i="1" l="1"/>
  <c r="I98" i="2"/>
  <c r="I30" i="2" l="1"/>
  <c r="L7" i="1" l="1"/>
  <c r="L6" i="1"/>
  <c r="I53" i="2" l="1"/>
  <c r="I15" i="1" l="1"/>
  <c r="K15" i="1" s="1"/>
  <c r="C15" i="1"/>
  <c r="M15" i="1" s="1"/>
  <c r="C16" i="1" s="1"/>
  <c r="M16" i="1" s="1"/>
  <c r="I73" i="2" l="1"/>
  <c r="I17" i="1" s="1"/>
  <c r="K17" i="1" s="1"/>
  <c r="I64" i="2"/>
  <c r="I16" i="1" s="1"/>
  <c r="K16" i="1" s="1"/>
  <c r="C17" i="1"/>
  <c r="M17" i="1" s="1"/>
  <c r="I82" i="2"/>
  <c r="C18" i="1" l="1"/>
  <c r="C19" i="1" s="1"/>
  <c r="C20" i="1" s="1"/>
  <c r="I87" i="2"/>
  <c r="I18" i="1"/>
  <c r="K18" i="1" s="1"/>
  <c r="M13" i="1"/>
  <c r="C14" i="1" s="1"/>
  <c r="C21" i="1" l="1"/>
  <c r="I19" i="1"/>
  <c r="K19" i="1" s="1"/>
  <c r="I95" i="2"/>
  <c r="M22" i="4"/>
  <c r="J22" i="4"/>
  <c r="G22" i="4"/>
  <c r="E22" i="4"/>
  <c r="M11" i="4"/>
  <c r="J11" i="4"/>
  <c r="L32" i="4" s="1"/>
  <c r="L34" i="4" s="1"/>
  <c r="G11" i="4"/>
  <c r="E11" i="4"/>
  <c r="C22" i="1" l="1"/>
  <c r="I20" i="1"/>
  <c r="K20" i="1" s="1"/>
  <c r="I39" i="2"/>
  <c r="I119" i="2" l="1"/>
  <c r="I23" i="1" s="1"/>
  <c r="K23" i="1" s="1"/>
  <c r="I111" i="2"/>
  <c r="I22" i="1" s="1"/>
  <c r="K22" i="1" s="1"/>
  <c r="I14" i="1"/>
  <c r="K14" i="1" s="1"/>
  <c r="I104" i="2"/>
  <c r="I21" i="1" s="1"/>
  <c r="K21" i="1" s="1"/>
  <c r="I13" i="1"/>
  <c r="M24" i="1"/>
  <c r="C23" i="1"/>
  <c r="I7" i="2"/>
  <c r="K13" i="1" l="1"/>
  <c r="I24" i="1"/>
  <c r="I120" i="2"/>
  <c r="K33" i="1"/>
  <c r="I33" i="1"/>
  <c r="K25" i="1" l="1"/>
  <c r="M40" i="1" s="1"/>
  <c r="K24" i="1"/>
  <c r="M33" i="1"/>
  <c r="M39" i="1" s="1"/>
</calcChain>
</file>

<file path=xl/sharedStrings.xml><?xml version="1.0" encoding="utf-8"?>
<sst xmlns="http://schemas.openxmlformats.org/spreadsheetml/2006/main" count="481" uniqueCount="189">
  <si>
    <t>Тариф -13,15 руб.</t>
  </si>
  <si>
    <t>Месяц</t>
  </si>
  <si>
    <t>Начислено за отчетный период, руб.</t>
  </si>
  <si>
    <t>Оплачено за отчетный период, руб.</t>
  </si>
  <si>
    <t>Выполнено работ на сумму, руб.</t>
  </si>
  <si>
    <t xml:space="preserve">Остаток за отчетный период, руб.                                </t>
  </si>
  <si>
    <t>Задолженность жителей на начало отчетного периода        ( руб.)</t>
  </si>
  <si>
    <t>Задолженность жителей на конец отчетного периода (руб.)</t>
  </si>
  <si>
    <t>ИТОГО:</t>
  </si>
  <si>
    <t xml:space="preserve"> Постоянные статьи </t>
  </si>
  <si>
    <t>Статья</t>
  </si>
  <si>
    <t>Электроэнергия СОИД</t>
  </si>
  <si>
    <t>Управление МКД</t>
  </si>
  <si>
    <t>Баланс дома по факту оплат</t>
  </si>
  <si>
    <t>Информация о выполненных работах</t>
  </si>
  <si>
    <t>по состоянию на</t>
  </si>
  <si>
    <t>№ п/п</t>
  </si>
  <si>
    <t>Место проведения работ</t>
  </si>
  <si>
    <t>Вид работ</t>
  </si>
  <si>
    <t>Ед. изм.</t>
  </si>
  <si>
    <t>Кол-во</t>
  </si>
  <si>
    <t>Стоимость</t>
  </si>
  <si>
    <t xml:space="preserve">Дата, № АКТА
</t>
  </si>
  <si>
    <t>МКД</t>
  </si>
  <si>
    <t>мес</t>
  </si>
  <si>
    <t>Услуги по формированию, печати и доставки квитанций</t>
  </si>
  <si>
    <t>Наименование</t>
  </si>
  <si>
    <t>Сальдо на начало периода</t>
  </si>
  <si>
    <t>Начисленно</t>
  </si>
  <si>
    <t>Собранно</t>
  </si>
  <si>
    <t>Долг за насилением</t>
  </si>
  <si>
    <t>ЖИЛИЩНЫЕ УСЛУГИ</t>
  </si>
  <si>
    <t>Содержание общего имущества МКД</t>
  </si>
  <si>
    <t>ИТОГО по жилищным услугам</t>
  </si>
  <si>
    <t>КОММУНАЛЬНЫЕ РЕСУРСЫ В ЦЕЛЯХ СОДЕРЖАНИЯ ОБЩЕГО ИМУЩЕСТВА МКД (СОИД)</t>
  </si>
  <si>
    <t>ИТОГО по коммунальным услугам</t>
  </si>
  <si>
    <t>РАСПРЕДЕЛЕНИЕ СТОИМОСТИ РАБОТ</t>
  </si>
  <si>
    <t>Наименование статей затрат</t>
  </si>
  <si>
    <t>Ед. изм. Руб.</t>
  </si>
  <si>
    <t>ВСЕГО РАСХОДОВ</t>
  </si>
  <si>
    <t>Наличие средст на начало указанного периода</t>
  </si>
  <si>
    <t>Оплаченно за указанный период</t>
  </si>
  <si>
    <t>Затраченно за указанный период</t>
  </si>
  <si>
    <t>Наличие средств на конец указанного периода</t>
  </si>
  <si>
    <t>Задолженность за насилением на конец отчетного периода</t>
  </si>
  <si>
    <t>Февраль</t>
  </si>
  <si>
    <t>Март</t>
  </si>
  <si>
    <t>Лицевой счет МКД по адресу: г. Таганрог, пер. 7-й Новый, д. 100/1</t>
  </si>
  <si>
    <t>Протокол №1 от 12 декабря 2021г.</t>
  </si>
  <si>
    <t>Содержание и ремонт общего имущества МКД -10,38 руб.</t>
  </si>
  <si>
    <t xml:space="preserve">Содержание газовых сетей -0,18 руб. </t>
  </si>
  <si>
    <t>Управление многоквартирным домом - 2,33 руб.</t>
  </si>
  <si>
    <t>Приказ ГЖИ №  76-Л от 25 января 2022г.</t>
  </si>
  <si>
    <t>Отчет по статье "Содержание общего и ремонт общего имущества МКД"</t>
  </si>
  <si>
    <t xml:space="preserve">Остаток по статье "Содержание и ремонт общего имущества МКД" на начало периода </t>
  </si>
  <si>
    <t>Апрель</t>
  </si>
  <si>
    <t>Май</t>
  </si>
  <si>
    <t>Июнь</t>
  </si>
  <si>
    <t>Отведение сточных вод ГВ СОИД</t>
  </si>
  <si>
    <t>Отведение сточных вод ХВ СОИД</t>
  </si>
  <si>
    <t>Теплоноситель СОИД</t>
  </si>
  <si>
    <t>Холодная вода СОИД</t>
  </si>
  <si>
    <t>Содержание газовых сетей</t>
  </si>
  <si>
    <t>Уборка лестничных клеток - 1,00 руб.</t>
  </si>
  <si>
    <t>Уборка придомовой территории - 2,00 руб.</t>
  </si>
  <si>
    <t>Уборка лестничных клетей</t>
  </si>
  <si>
    <t>Уборка придомовой территории</t>
  </si>
  <si>
    <t>по статье "Содержание и ремонт общего имущества МКД"</t>
  </si>
  <si>
    <t>на доме № 100/1 по пер. 7-й Новый</t>
  </si>
  <si>
    <t>Управляющая компания ООО "УК "ЮгДомКомфорт" с  01.02.2022 г.</t>
  </si>
  <si>
    <t>усл.</t>
  </si>
  <si>
    <t>Гидравлические испытания системы ЦО</t>
  </si>
  <si>
    <t>мес.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</si>
  <si>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</si>
  <si>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</si>
  <si>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</si>
  <si>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</si>
  <si>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</si>
  <si>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</si>
  <si>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Информационное обслуживание, раскрытие информаации на сайте ГИС ЖКХ</t>
  </si>
  <si>
    <t>ТО ВДГО</t>
  </si>
  <si>
    <t xml:space="preserve">Остаток по статье "Содержание и ремонт общего имущества МКД" на конец периода </t>
  </si>
  <si>
    <t>дома по адресу: Ростовская область,  г. Таганрог, пер. 7-й Новый, д. 100/1</t>
  </si>
  <si>
    <t>Протокол  №1 от 12 декабря 2021г.</t>
  </si>
  <si>
    <t>Приказ ГЖИ №  76-Л от 25.01.22г.</t>
  </si>
  <si>
    <t>Содержание общего имущества МКД -10,38 руб.</t>
  </si>
  <si>
    <t>Управление многоквартирным домом -2,33 руб.</t>
  </si>
  <si>
    <t>Содержание ОИ</t>
  </si>
  <si>
    <t>с 01.01.2023г. по 31.12.2023г.</t>
  </si>
  <si>
    <t>Задолженность на 01.01.2023г.</t>
  </si>
  <si>
    <t>Начислено средств за 2023г.</t>
  </si>
  <si>
    <t>Оплачено средств за 2023г.</t>
  </si>
  <si>
    <t>Информация за 2023г.</t>
  </si>
  <si>
    <t>Январь</t>
  </si>
  <si>
    <t>Баланс дома на 01.01.2023г.</t>
  </si>
  <si>
    <t>Задолженность на 31.12.2023г.</t>
  </si>
  <si>
    <t>за период с 01.01.2023г. по 31.12.2023г.</t>
  </si>
  <si>
    <t>ЯНВАРЬ 2023г.</t>
  </si>
  <si>
    <t>31.01.2023г.</t>
  </si>
  <si>
    <t>ИТОГО февраль 2023г.</t>
  </si>
  <si>
    <t>ФЕВРАЛЬ 2023г.</t>
  </si>
  <si>
    <t>МАРТ 2023г.</t>
  </si>
  <si>
    <t>31.03.2023г</t>
  </si>
  <si>
    <t>28.02.2023г.</t>
  </si>
  <si>
    <t>ИТОГО март 2023г.</t>
  </si>
  <si>
    <t>АПРЕЛЬ 2023г.</t>
  </si>
  <si>
    <t>30.04.2023г.</t>
  </si>
  <si>
    <t>ИТОГО апрель 2023г.</t>
  </si>
  <si>
    <t>МАЙ 2023г.</t>
  </si>
  <si>
    <t>31.05.2023г.</t>
  </si>
  <si>
    <t>ИТОГО май 2023г.</t>
  </si>
  <si>
    <t>ИЮНЬ 2023г.</t>
  </si>
  <si>
    <t>30.06.2023г.</t>
  </si>
  <si>
    <t>ИТОГО июнь 2023г.</t>
  </si>
  <si>
    <t>ИЮЛЬ 2023г.</t>
  </si>
  <si>
    <t>31.07.2023г.</t>
  </si>
  <si>
    <t>ИТОГО июль 2023г.</t>
  </si>
  <si>
    <t>АВГУСТ 2023г.</t>
  </si>
  <si>
    <t>31.08.2023г.</t>
  </si>
  <si>
    <t>ИТОГО август 2023г.</t>
  </si>
  <si>
    <t>СЕНТЯБРЬ 2023г.</t>
  </si>
  <si>
    <t>30.09.2023г.</t>
  </si>
  <si>
    <t>ИТОГО сентябрь 2023г.</t>
  </si>
  <si>
    <t>ОКТЯБРЬ 2023г.</t>
  </si>
  <si>
    <t>31.10.2023г.</t>
  </si>
  <si>
    <t>ИТОГО октябрь 2023г.</t>
  </si>
  <si>
    <t>НОЯБРЬ 2023г.</t>
  </si>
  <si>
    <t>30.11.2023г.</t>
  </si>
  <si>
    <t>ИТОГО ноябрь 2023г.</t>
  </si>
  <si>
    <t>31.12.2023г.</t>
  </si>
  <si>
    <t>ИТОГО декабрь 2023г.</t>
  </si>
  <si>
    <t>ИТОГО ЗА 2023г.</t>
  </si>
  <si>
    <t>Услуги по формированию, печати и доставки квитанций, расчетно-кассовое обслуживание.</t>
  </si>
  <si>
    <t>А/вызов Залитие подвала- ложный вызов кв.1</t>
  </si>
  <si>
    <t>Проверка ТЭПТС пломб на УУТЭ, проверка ГВС</t>
  </si>
  <si>
    <t>Осмотр инженерных коммуникаций в подвале- ЦО, ЦК, ХВС</t>
  </si>
  <si>
    <t>Сорвало кран в кв. 21. Отключение- подключение стояков ХВС, ГВС</t>
  </si>
  <si>
    <t>Проверка вентканалов и дымоходов</t>
  </si>
  <si>
    <t>Проверка подключений к ОДПУ ЭЭ</t>
  </si>
  <si>
    <t>Обследование инженерных сетей ХВС, ГВС.ЦО, отключение насоса</t>
  </si>
  <si>
    <t>Изготовление  петель для навесного замка, установка на заклепки</t>
  </si>
  <si>
    <t>Сброс воздуха ГВС, подкл. насоса Отключение из-а отсутствитя ХВ</t>
  </si>
  <si>
    <t xml:space="preserve">Развоздушивание системы ГВС, подключение насоса </t>
  </si>
  <si>
    <t>Сброс воздуха  из системы ГВС 3 под.</t>
  </si>
  <si>
    <t xml:space="preserve">Доставка песка </t>
  </si>
  <si>
    <t>Установка навесных замков на ЩЭ</t>
  </si>
  <si>
    <t>Осмотр систем ХВС, ГВС. ЦО, ЦК</t>
  </si>
  <si>
    <t>Обрезка аварийных веток</t>
  </si>
  <si>
    <t>Распил и измельчение срезанных веток для утилизации</t>
  </si>
  <si>
    <t>Осмотр подъездов №№ 3,4, выявление причины осыпания штукатурки</t>
  </si>
  <si>
    <t xml:space="preserve">Осмотр инженерный систем в подвале </t>
  </si>
  <si>
    <t>Перенос выключателя МОП на улицу</t>
  </si>
  <si>
    <t>Выявление и демонтаж бездоговорных подключений</t>
  </si>
  <si>
    <t>Заделка  швов кирпичной кладки в местах выветривания</t>
  </si>
  <si>
    <t xml:space="preserve">Замена  чугунных задвижек на шаровые краны     </t>
  </si>
  <si>
    <t>Подкдючение насоса ГВС, развоздушивание  ГВС</t>
  </si>
  <si>
    <t>Замена участков стояка металлического на полипропиленовые- 2 ед.</t>
  </si>
  <si>
    <t>Замена дроссельной заслонки ГВС</t>
  </si>
  <si>
    <t>Вызов инспектора ТЭПТС, низкие параметры ГВС</t>
  </si>
  <si>
    <t>Ремонт скребка для обуви (сварочные работы)</t>
  </si>
  <si>
    <t>Развоздушивание системы ГВС 3 под.</t>
  </si>
  <si>
    <t>Соединение труб ЦК после гидроудара</t>
  </si>
  <si>
    <t>Ремонт освещения в подъезде № 4, демонтаж-монтаж плафона</t>
  </si>
  <si>
    <t>Прочистка канализации 3 под.</t>
  </si>
  <si>
    <t>Откачка стоков из подвала вручную после засора</t>
  </si>
  <si>
    <t>Осмотр  коммуникаций, подготовка к ремонту теплообменника</t>
  </si>
  <si>
    <t>Проверка электрических сетей, вызов ЮЗЭС</t>
  </si>
  <si>
    <t xml:space="preserve">Ремонт теплообменника, сварочные работы </t>
  </si>
  <si>
    <t>Покос травы, изготовление и ремонт шансевого инструмента</t>
  </si>
  <si>
    <t xml:space="preserve">Развоздушивание системы ГВС </t>
  </si>
  <si>
    <t>ИТОГО январь 2023г.</t>
  </si>
  <si>
    <t>Помывка, шайбировка</t>
  </si>
  <si>
    <t>Развоздушивание системы ЦО</t>
  </si>
  <si>
    <t>Обработка и передача показаний ОДПУ ЭЭ</t>
  </si>
  <si>
    <t>Ремонт крыши подвала под.№1</t>
  </si>
  <si>
    <t>Ремонт кровли лоджии кв. 28</t>
  </si>
  <si>
    <t>Замена циркуляционного насоса</t>
  </si>
  <si>
    <t>Демонтаж  изготовление и монтаж диафрагм</t>
  </si>
  <si>
    <t>Установка \пломб с инспектором ТЭПТС</t>
  </si>
  <si>
    <t>Вызов представителя ТЭПТС, проверка пломб</t>
  </si>
  <si>
    <t>Изготовление запорного устройства на дверь ВРУ</t>
  </si>
  <si>
    <t>Уборка МОП (сушилка), очистка от помета,  вынос мусора</t>
  </si>
  <si>
    <t>S жилых помещений - 2999,2 м²</t>
  </si>
  <si>
    <t>S жилых помещений - 2999,2 м</t>
  </si>
  <si>
    <t>Материалы: Прогресс 5 л., Тряпки для мытья пола 4м2., Белизна 2л., перчатки х/б 2 пары, Перчатки прорезиненные 2 пары.</t>
  </si>
  <si>
    <t>Ремонт системы цк (установка стяжных хомутов, фиксация проволокой труб ЦК для предотвращения разрыва ЦК при гидроударк) подвал</t>
  </si>
  <si>
    <t>ДЕКАБРЬ 2023г.</t>
  </si>
  <si>
    <t>ОТЧЕТ ООО "Управляющая компания "ЮгДомКомфорт" за 2023г. перед собственниками</t>
  </si>
  <si>
    <t>Аварийное перекрытие ЦО, сдив из системы в кв.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</si>
</sst>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руб.-419];[Red]&quot;-&quot;#,##0.00&quot; &quot;[$руб.-419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12"/>
      <color rgb="FF1A1A1A"/>
      <name val="Arial"/>
      <family val="2"/>
      <charset val="204"/>
    </font>
    <font>
      <b/>
      <sz val="12"/>
      <color rgb="FF1A1A1A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7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4" fillId="4" borderId="4" xfId="0" applyNumberFormat="1" applyFont="1" applyFill="1" applyBorder="1" applyAlignment="1">
      <alignment horizontal="right" vertical="center" wrapText="1"/>
    </xf>
    <xf numFmtId="0" fontId="8" fillId="0" borderId="4" xfId="0" applyFont="1" applyBorder="1"/>
    <xf numFmtId="0" fontId="8" fillId="0" borderId="3" xfId="0" applyFont="1" applyBorder="1"/>
    <xf numFmtId="2" fontId="8" fillId="0" borderId="4" xfId="0" applyNumberFormat="1" applyFont="1" applyBorder="1"/>
    <xf numFmtId="2" fontId="9" fillId="0" borderId="4" xfId="0" applyNumberFormat="1" applyFont="1" applyBorder="1"/>
    <xf numFmtId="0" fontId="11" fillId="0" borderId="0" xfId="2" applyFont="1" applyAlignment="1">
      <alignment horizontal="center" vertical="center" wrapText="1"/>
    </xf>
    <xf numFmtId="0" fontId="12" fillId="0" borderId="0" xfId="2" applyFont="1"/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10" fillId="0" borderId="0" xfId="2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4" fillId="0" borderId="0" xfId="2" applyFont="1" applyAlignment="1">
      <alignment horizontal="left" vertical="center" wrapText="1"/>
    </xf>
    <xf numFmtId="0" fontId="16" fillId="0" borderId="0" xfId="2" applyFont="1"/>
    <xf numFmtId="0" fontId="17" fillId="0" borderId="0" xfId="2" applyFont="1" applyAlignment="1">
      <alignment horizontal="right"/>
    </xf>
    <xf numFmtId="14" fontId="17" fillId="0" borderId="0" xfId="2" applyNumberFormat="1" applyFont="1" applyAlignment="1">
      <alignment horizontal="left"/>
    </xf>
    <xf numFmtId="0" fontId="15" fillId="0" borderId="4" xfId="2" applyFont="1" applyBorder="1" applyAlignment="1">
      <alignment horizontal="right" vertical="center" wrapText="1"/>
    </xf>
    <xf numFmtId="0" fontId="15" fillId="0" borderId="4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center" vertical="center" wrapText="1"/>
    </xf>
    <xf numFmtId="4" fontId="22" fillId="0" borderId="4" xfId="2" applyNumberFormat="1" applyFont="1" applyBorder="1" applyAlignment="1">
      <alignment horizontal="right" vertical="center" wrapText="1"/>
    </xf>
    <xf numFmtId="0" fontId="23" fillId="0" borderId="0" xfId="2" applyFont="1"/>
    <xf numFmtId="0" fontId="24" fillId="0" borderId="0" xfId="2" applyFont="1" applyAlignment="1">
      <alignment horizontal="left" vertical="center" wrapText="1"/>
    </xf>
    <xf numFmtId="0" fontId="24" fillId="0" borderId="0" xfId="2" applyFont="1"/>
    <xf numFmtId="0" fontId="25" fillId="0" borderId="0" xfId="2" applyFont="1"/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2" fontId="8" fillId="0" borderId="3" xfId="0" applyNumberFormat="1" applyFont="1" applyBorder="1"/>
    <xf numFmtId="1" fontId="22" fillId="0" borderId="4" xfId="0" applyNumberFormat="1" applyFont="1" applyBorder="1" applyAlignment="1">
      <alignment horizontal="left" vertical="top" wrapText="1"/>
    </xf>
    <xf numFmtId="4" fontId="4" fillId="5" borderId="4" xfId="2" applyNumberFormat="1" applyFont="1" applyFill="1" applyBorder="1" applyAlignment="1">
      <alignment horizontal="right" vertical="center" wrapText="1"/>
    </xf>
    <xf numFmtId="14" fontId="15" fillId="0" borderId="4" xfId="2" applyNumberFormat="1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right"/>
    </xf>
    <xf numFmtId="4" fontId="3" fillId="0" borderId="4" xfId="0" applyNumberFormat="1" applyFont="1" applyBorder="1"/>
    <xf numFmtId="4" fontId="3" fillId="2" borderId="4" xfId="2" applyNumberFormat="1" applyFont="1" applyFill="1" applyBorder="1"/>
    <xf numFmtId="4" fontId="8" fillId="0" borderId="3" xfId="0" applyNumberFormat="1" applyFont="1" applyBorder="1"/>
    <xf numFmtId="4" fontId="10" fillId="0" borderId="0" xfId="2" applyNumberFormat="1"/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3" fillId="0" borderId="4" xfId="0" applyFont="1" applyBorder="1"/>
    <xf numFmtId="2" fontId="3" fillId="0" borderId="4" xfId="0" applyNumberFormat="1" applyFont="1" applyBorder="1"/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2" fontId="3" fillId="4" borderId="3" xfId="0" applyNumberFormat="1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3" xfId="0" applyNumberFormat="1" applyFont="1" applyFill="1" applyBorder="1" applyAlignment="1">
      <alignment horizontal="right" vertical="center" wrapText="1"/>
    </xf>
    <xf numFmtId="2" fontId="4" fillId="4" borderId="1" xfId="1" applyNumberFormat="1" applyFont="1" applyFill="1" applyBorder="1" applyAlignment="1">
      <alignment horizontal="right" vertical="center" wrapText="1"/>
    </xf>
    <xf numFmtId="2" fontId="4" fillId="4" borderId="3" xfId="1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3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4" fontId="3" fillId="0" borderId="1" xfId="0" applyNumberFormat="1" applyFont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8" fillId="0" borderId="4" xfId="0" applyFont="1" applyBorder="1"/>
    <xf numFmtId="2" fontId="3" fillId="2" borderId="1" xfId="0" applyNumberFormat="1" applyFont="1" applyFill="1" applyBorder="1"/>
    <xf numFmtId="0" fontId="3" fillId="2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2" borderId="2" xfId="0" applyNumberFormat="1" applyFont="1" applyFill="1" applyBorder="1"/>
    <xf numFmtId="2" fontId="3" fillId="2" borderId="3" xfId="0" applyNumberFormat="1" applyFont="1" applyFill="1" applyBorder="1"/>
    <xf numFmtId="0" fontId="3" fillId="2" borderId="2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" fontId="3" fillId="0" borderId="4" xfId="0" applyNumberFormat="1" applyFont="1" applyBorder="1"/>
    <xf numFmtId="4" fontId="3" fillId="0" borderId="3" xfId="0" applyNumberFormat="1" applyFont="1" applyBorder="1"/>
    <xf numFmtId="0" fontId="3" fillId="2" borderId="4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3" fillId="2" borderId="4" xfId="0" applyFont="1" applyFill="1" applyBorder="1"/>
    <xf numFmtId="2" fontId="6" fillId="2" borderId="4" xfId="0" applyNumberFormat="1" applyFont="1" applyFill="1" applyBorder="1"/>
    <xf numFmtId="0" fontId="6" fillId="2" borderId="4" xfId="0" applyFont="1" applyFill="1" applyBorder="1"/>
    <xf numFmtId="0" fontId="22" fillId="0" borderId="1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/>
    </xf>
    <xf numFmtId="0" fontId="4" fillId="5" borderId="1" xfId="2" applyFont="1" applyFill="1" applyBorder="1" applyAlignment="1">
      <alignment horizontal="left" vertical="center" wrapText="1"/>
    </xf>
    <xf numFmtId="0" fontId="4" fillId="5" borderId="2" xfId="2" applyFont="1" applyFill="1" applyBorder="1" applyAlignment="1">
      <alignment horizontal="left" vertical="center" wrapText="1"/>
    </xf>
    <xf numFmtId="0" fontId="4" fillId="5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wrapText="1"/>
    </xf>
    <xf numFmtId="0" fontId="15" fillId="3" borderId="9" xfId="2" applyFont="1" applyFill="1" applyBorder="1" applyAlignment="1">
      <alignment wrapText="1"/>
    </xf>
    <xf numFmtId="0" fontId="8" fillId="0" borderId="0" xfId="0" applyFont="1"/>
    <xf numFmtId="2" fontId="8" fillId="0" borderId="4" xfId="0" applyNumberFormat="1" applyFont="1" applyBorder="1"/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2" fontId="8" fillId="0" borderId="1" xfId="0" applyNumberFormat="1" applyFont="1" applyBorder="1"/>
    <xf numFmtId="2" fontId="8" fillId="0" borderId="3" xfId="0" applyNumberFormat="1" applyFont="1" applyBorder="1"/>
    <xf numFmtId="2" fontId="8" fillId="0" borderId="2" xfId="0" applyNumberFormat="1" applyFont="1" applyBorder="1"/>
    <xf numFmtId="4" fontId="7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right"/>
    </xf>
    <xf numFmtId="2" fontId="8" fillId="4" borderId="3" xfId="0" applyNumberFormat="1" applyFont="1" applyFill="1" applyBorder="1" applyAlignment="1">
      <alignment horizontal="right"/>
    </xf>
    <xf numFmtId="2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8" fillId="0" borderId="1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4" borderId="1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</cellXfs>
  <cellStyles count="7">
    <cellStyle name="Heading" xfId="3" xr:uid="{00000000-0005-0000-0000-000000000000}"/>
    <cellStyle name="Heading1" xfId="4" xr:uid="{00000000-0005-0000-0000-000001000000}"/>
    <cellStyle name="Result" xfId="5" xr:uid="{00000000-0005-0000-0000-000002000000}"/>
    <cellStyle name="Result2" xfId="6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43"/>
  <sheetViews>
    <sheetView tabSelected="1" showRuler="0" zoomScaleNormal="100" workbookViewId="0">
      <selection activeCell="P12" sqref="P12"/>
    </sheetView>
  </sheetViews>
  <sheetFormatPr defaultRowHeight="14.4" x14ac:dyDescent="0.3"/>
  <cols>
    <col min="2" max="2" width="9.109375" customWidth="1"/>
    <col min="4" max="4" width="9.6640625" customWidth="1"/>
    <col min="6" max="6" width="9.109375" customWidth="1"/>
    <col min="8" max="8" width="8.33203125" customWidth="1"/>
    <col min="12" max="12" width="6.44140625" customWidth="1"/>
    <col min="13" max="13" width="20.88671875" customWidth="1"/>
  </cols>
  <sheetData>
    <row r="1" spans="1:13" x14ac:dyDescent="0.3">
      <c r="A1" s="89" t="s">
        <v>47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 x14ac:dyDescent="0.3">
      <c r="A2" s="64" t="s">
        <v>182</v>
      </c>
      <c r="B2" s="80"/>
      <c r="C2" s="80"/>
      <c r="D2" s="65"/>
      <c r="E2" s="64" t="s">
        <v>48</v>
      </c>
      <c r="F2" s="80"/>
      <c r="G2" s="80"/>
      <c r="H2" s="80"/>
      <c r="I2" s="65"/>
      <c r="J2" s="64" t="s">
        <v>52</v>
      </c>
      <c r="K2" s="80"/>
      <c r="L2" s="80"/>
      <c r="M2" s="65"/>
    </row>
    <row r="3" spans="1:13" x14ac:dyDescent="0.3">
      <c r="A3" s="64" t="s">
        <v>0</v>
      </c>
      <c r="B3" s="65"/>
      <c r="C3" s="64" t="s">
        <v>49</v>
      </c>
      <c r="D3" s="80"/>
      <c r="E3" s="80"/>
      <c r="F3" s="80"/>
      <c r="G3" s="80"/>
      <c r="H3" s="80"/>
      <c r="I3" s="80"/>
      <c r="J3" s="80"/>
      <c r="K3" s="80"/>
      <c r="L3" s="80"/>
      <c r="M3" s="65"/>
    </row>
    <row r="4" spans="1:13" x14ac:dyDescent="0.3">
      <c r="A4" s="64" t="s">
        <v>51</v>
      </c>
      <c r="B4" s="80"/>
      <c r="C4" s="80"/>
      <c r="D4" s="80"/>
      <c r="E4" s="80"/>
      <c r="F4" s="80"/>
      <c r="G4" s="65"/>
      <c r="H4" s="64" t="s">
        <v>50</v>
      </c>
      <c r="I4" s="80"/>
      <c r="J4" s="80"/>
      <c r="K4" s="80"/>
      <c r="L4" s="80"/>
      <c r="M4" s="65"/>
    </row>
    <row r="5" spans="1:13" x14ac:dyDescent="0.3">
      <c r="A5" s="52" t="s">
        <v>63</v>
      </c>
      <c r="B5" s="52"/>
      <c r="C5" s="52"/>
      <c r="D5" s="52"/>
      <c r="E5" s="52"/>
      <c r="F5" s="52"/>
      <c r="G5" s="52"/>
      <c r="H5" s="52" t="s">
        <v>64</v>
      </c>
      <c r="I5" s="52"/>
      <c r="J5" s="52"/>
      <c r="K5" s="52"/>
      <c r="L5" s="52"/>
      <c r="M5" s="52"/>
    </row>
    <row r="6" spans="1:13" x14ac:dyDescent="0.3">
      <c r="A6" s="64" t="s">
        <v>89</v>
      </c>
      <c r="B6" s="80"/>
      <c r="C6" s="80"/>
      <c r="D6" s="65"/>
      <c r="E6" s="66">
        <v>61708.15</v>
      </c>
      <c r="F6" s="67"/>
      <c r="G6" s="64" t="s">
        <v>90</v>
      </c>
      <c r="H6" s="80"/>
      <c r="I6" s="80"/>
      <c r="J6" s="80"/>
      <c r="K6" s="65"/>
      <c r="L6" s="66">
        <f>E24</f>
        <v>373580.03999999986</v>
      </c>
      <c r="M6" s="67"/>
    </row>
    <row r="7" spans="1:13" x14ac:dyDescent="0.3">
      <c r="A7" s="64" t="s">
        <v>94</v>
      </c>
      <c r="B7" s="80"/>
      <c r="C7" s="80"/>
      <c r="D7" s="65"/>
      <c r="E7" s="66">
        <v>42588.800000000003</v>
      </c>
      <c r="F7" s="67"/>
      <c r="G7" s="64" t="s">
        <v>91</v>
      </c>
      <c r="H7" s="80"/>
      <c r="I7" s="80"/>
      <c r="J7" s="80"/>
      <c r="K7" s="65"/>
      <c r="L7" s="66">
        <f>G24</f>
        <v>354113.68999999994</v>
      </c>
      <c r="M7" s="67"/>
    </row>
    <row r="8" spans="1:13" x14ac:dyDescent="0.3">
      <c r="A8" s="77" t="s">
        <v>92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3" x14ac:dyDescent="0.3">
      <c r="A9" s="89" t="s">
        <v>53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1"/>
    </row>
    <row r="10" spans="1:13" ht="14.25" customHeight="1" x14ac:dyDescent="0.3">
      <c r="A10" s="64" t="s">
        <v>54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66">
        <v>42588.800000000003</v>
      </c>
      <c r="M10" s="67"/>
    </row>
    <row r="11" spans="1:13" ht="54.75" customHeight="1" x14ac:dyDescent="0.3">
      <c r="A11" s="88" t="s">
        <v>1</v>
      </c>
      <c r="B11" s="88"/>
      <c r="C11" s="75" t="s">
        <v>6</v>
      </c>
      <c r="D11" s="88"/>
      <c r="E11" s="75" t="s">
        <v>2</v>
      </c>
      <c r="F11" s="88"/>
      <c r="G11" s="75" t="s">
        <v>3</v>
      </c>
      <c r="H11" s="75"/>
      <c r="I11" s="92" t="s">
        <v>4</v>
      </c>
      <c r="J11" s="92"/>
      <c r="K11" s="93" t="s">
        <v>5</v>
      </c>
      <c r="L11" s="94"/>
      <c r="M11" s="2" t="s">
        <v>7</v>
      </c>
    </row>
    <row r="12" spans="1:13" x14ac:dyDescent="0.3">
      <c r="A12" s="64" t="s">
        <v>93</v>
      </c>
      <c r="B12" s="65"/>
      <c r="C12" s="66">
        <v>38537.99</v>
      </c>
      <c r="D12" s="67"/>
      <c r="E12" s="66">
        <v>31131.67</v>
      </c>
      <c r="F12" s="67"/>
      <c r="G12" s="66">
        <v>27217.88</v>
      </c>
      <c r="H12" s="67"/>
      <c r="I12" s="66">
        <f>'СОДЕРЖАНИЕ ЖИЛЬЯ'!I19</f>
        <v>19411.094709999998</v>
      </c>
      <c r="J12" s="67"/>
      <c r="K12" s="66">
        <f>G12-I12</f>
        <v>7806.7852900000034</v>
      </c>
      <c r="L12" s="67"/>
      <c r="M12" s="3">
        <v>42450.55</v>
      </c>
    </row>
    <row r="13" spans="1:13" x14ac:dyDescent="0.3">
      <c r="A13" s="52" t="s">
        <v>45</v>
      </c>
      <c r="B13" s="52"/>
      <c r="C13" s="53">
        <f>M12</f>
        <v>42450.55</v>
      </c>
      <c r="D13" s="53"/>
      <c r="E13" s="53">
        <v>31131.67</v>
      </c>
      <c r="F13" s="53"/>
      <c r="G13" s="53">
        <v>30388.58</v>
      </c>
      <c r="H13" s="53"/>
      <c r="I13" s="53">
        <f>'СОДЕРЖАНИЕ ЖИЛЬЯ'!I30</f>
        <v>32681.910189999999</v>
      </c>
      <c r="J13" s="53"/>
      <c r="K13" s="53">
        <f>L10+G13-I13</f>
        <v>40295.46981000001</v>
      </c>
      <c r="L13" s="52"/>
      <c r="M13" s="3">
        <f>C13+E13-G13</f>
        <v>43193.64</v>
      </c>
    </row>
    <row r="14" spans="1:13" x14ac:dyDescent="0.3">
      <c r="A14" s="64" t="s">
        <v>46</v>
      </c>
      <c r="B14" s="65"/>
      <c r="C14" s="53">
        <f t="shared" ref="C14:C23" si="0">M13</f>
        <v>43193.64</v>
      </c>
      <c r="D14" s="53"/>
      <c r="E14" s="66">
        <v>31131.67</v>
      </c>
      <c r="F14" s="67"/>
      <c r="G14" s="66">
        <v>29294.45</v>
      </c>
      <c r="H14" s="67"/>
      <c r="I14" s="66">
        <f>'СОДЕРЖАНИЕ ЖИЛЬЯ'!I39</f>
        <v>12648.446899999999</v>
      </c>
      <c r="J14" s="67"/>
      <c r="K14" s="53">
        <f>L11+G14-I14</f>
        <v>16646.003100000002</v>
      </c>
      <c r="L14" s="52"/>
      <c r="M14" s="3">
        <v>45021.61</v>
      </c>
    </row>
    <row r="15" spans="1:13" x14ac:dyDescent="0.3">
      <c r="A15" s="64" t="s">
        <v>55</v>
      </c>
      <c r="B15" s="65"/>
      <c r="C15" s="53">
        <f t="shared" si="0"/>
        <v>45021.61</v>
      </c>
      <c r="D15" s="53"/>
      <c r="E15" s="66">
        <v>31131.67</v>
      </c>
      <c r="F15" s="67"/>
      <c r="G15" s="66">
        <v>27641.08</v>
      </c>
      <c r="H15" s="67"/>
      <c r="I15" s="66">
        <f>'СОДЕРЖАНИЕ ЖИЛЬЯ'!I53</f>
        <v>62783.824289999997</v>
      </c>
      <c r="J15" s="67"/>
      <c r="K15" s="53">
        <f>L13+G15-I15</f>
        <v>-35142.744289999995</v>
      </c>
      <c r="L15" s="52"/>
      <c r="M15" s="3">
        <f t="shared" ref="M15:M16" si="1">C15+E15-G15</f>
        <v>48512.2</v>
      </c>
    </row>
    <row r="16" spans="1:13" x14ac:dyDescent="0.3">
      <c r="A16" s="52" t="s">
        <v>56</v>
      </c>
      <c r="B16" s="52"/>
      <c r="C16" s="53">
        <f t="shared" si="0"/>
        <v>48512.2</v>
      </c>
      <c r="D16" s="53"/>
      <c r="E16" s="53">
        <v>31131.67</v>
      </c>
      <c r="F16" s="53"/>
      <c r="G16" s="53">
        <v>36145.14</v>
      </c>
      <c r="H16" s="53"/>
      <c r="I16" s="97">
        <f>'СОДЕРЖАНИЕ ЖИЛЬЯ'!I64</f>
        <v>21255.854449999999</v>
      </c>
      <c r="J16" s="52"/>
      <c r="K16" s="53">
        <f t="shared" ref="K16" si="2">L14+G16-I16</f>
        <v>14889.285550000001</v>
      </c>
      <c r="L16" s="52"/>
      <c r="M16" s="3">
        <f t="shared" si="1"/>
        <v>43498.729999999996</v>
      </c>
    </row>
    <row r="17" spans="1:13" x14ac:dyDescent="0.3">
      <c r="A17" s="64" t="s">
        <v>57</v>
      </c>
      <c r="B17" s="65"/>
      <c r="C17" s="53">
        <f t="shared" si="0"/>
        <v>43498.729999999996</v>
      </c>
      <c r="D17" s="53"/>
      <c r="E17" s="66">
        <v>31131.67</v>
      </c>
      <c r="F17" s="67"/>
      <c r="G17" s="66">
        <v>24809.040000000001</v>
      </c>
      <c r="H17" s="67"/>
      <c r="I17" s="68">
        <f>'СОДЕРЖАНИЕ ЖИЛЬЯ'!I73</f>
        <v>49444.085939999997</v>
      </c>
      <c r="J17" s="65"/>
      <c r="K17" s="53">
        <f t="shared" ref="K17" si="3">L15+G17-I17</f>
        <v>-24635.045939999996</v>
      </c>
      <c r="L17" s="52"/>
      <c r="M17" s="3">
        <f>C17+E17-G17</f>
        <v>49821.359999999993</v>
      </c>
    </row>
    <row r="18" spans="1:13" x14ac:dyDescent="0.3">
      <c r="A18" s="64" t="s">
        <v>73</v>
      </c>
      <c r="B18" s="65"/>
      <c r="C18" s="53">
        <f t="shared" si="0"/>
        <v>49821.359999999993</v>
      </c>
      <c r="D18" s="53"/>
      <c r="E18" s="66">
        <v>31131.67</v>
      </c>
      <c r="F18" s="67"/>
      <c r="G18" s="66">
        <v>28730.46</v>
      </c>
      <c r="H18" s="67"/>
      <c r="I18" s="68">
        <f>'СОДЕРЖАНИЕ ЖИЛЬЯ'!I82</f>
        <v>37544.052210000002</v>
      </c>
      <c r="J18" s="98"/>
      <c r="K18" s="53">
        <f t="shared" ref="K18" si="4">L16+G18-I18</f>
        <v>-8813.5922100000025</v>
      </c>
      <c r="L18" s="52"/>
      <c r="M18" s="3">
        <v>52383.75</v>
      </c>
    </row>
    <row r="19" spans="1:13" x14ac:dyDescent="0.3">
      <c r="A19" s="64" t="s">
        <v>74</v>
      </c>
      <c r="B19" s="65"/>
      <c r="C19" s="53">
        <f t="shared" si="0"/>
        <v>52383.75</v>
      </c>
      <c r="D19" s="53"/>
      <c r="E19" s="66">
        <v>31131.67</v>
      </c>
      <c r="F19" s="67"/>
      <c r="G19" s="66">
        <v>35966.769999999997</v>
      </c>
      <c r="H19" s="67"/>
      <c r="I19" s="68">
        <f>'СОДЕРЖАНИЕ ЖИЛЬЯ'!I87</f>
        <v>4304.7029299999995</v>
      </c>
      <c r="J19" s="98"/>
      <c r="K19" s="53">
        <f t="shared" ref="K19" si="5">L17+G19-I19</f>
        <v>31662.067069999997</v>
      </c>
      <c r="L19" s="52"/>
      <c r="M19" s="3">
        <v>47908.08</v>
      </c>
    </row>
    <row r="20" spans="1:13" x14ac:dyDescent="0.3">
      <c r="A20" s="64" t="s">
        <v>75</v>
      </c>
      <c r="B20" s="65"/>
      <c r="C20" s="53">
        <f t="shared" si="0"/>
        <v>47908.08</v>
      </c>
      <c r="D20" s="53"/>
      <c r="E20" s="66">
        <v>31131.67</v>
      </c>
      <c r="F20" s="67"/>
      <c r="G20" s="66">
        <v>19270.13</v>
      </c>
      <c r="H20" s="67"/>
      <c r="I20" s="68">
        <f>'СОДЕРЖАНИЕ ЖИЛЬЯ'!I95</f>
        <v>26108.715539999997</v>
      </c>
      <c r="J20" s="98"/>
      <c r="K20" s="53">
        <f t="shared" ref="K20" si="6">L18+G20-I20</f>
        <v>-6838.5855399999964</v>
      </c>
      <c r="L20" s="52"/>
      <c r="M20" s="3">
        <v>59249.01</v>
      </c>
    </row>
    <row r="21" spans="1:13" x14ac:dyDescent="0.3">
      <c r="A21" s="64" t="s">
        <v>76</v>
      </c>
      <c r="B21" s="65"/>
      <c r="C21" s="53">
        <f t="shared" si="0"/>
        <v>59249.01</v>
      </c>
      <c r="D21" s="53"/>
      <c r="E21" s="66">
        <v>31131.67</v>
      </c>
      <c r="F21" s="67"/>
      <c r="G21" s="66">
        <v>37289.03</v>
      </c>
      <c r="H21" s="67"/>
      <c r="I21" s="68">
        <f>'СОДЕРЖАНИЕ ЖИЛЬЯ'!I104</f>
        <v>29087.81061</v>
      </c>
      <c r="J21" s="98"/>
      <c r="K21" s="53">
        <f t="shared" ref="K21" si="7">L19+G21-I21</f>
        <v>8201.2193899999984</v>
      </c>
      <c r="L21" s="52"/>
      <c r="M21" s="3">
        <v>53897.27</v>
      </c>
    </row>
    <row r="22" spans="1:13" x14ac:dyDescent="0.3">
      <c r="A22" s="64" t="s">
        <v>77</v>
      </c>
      <c r="B22" s="65"/>
      <c r="C22" s="53">
        <f t="shared" si="0"/>
        <v>53897.27</v>
      </c>
      <c r="D22" s="53"/>
      <c r="E22" s="66">
        <v>31131.67</v>
      </c>
      <c r="F22" s="67"/>
      <c r="G22" s="66">
        <v>25103.85</v>
      </c>
      <c r="H22" s="67"/>
      <c r="I22" s="68">
        <f>'СОДЕРЖАНИЕ ЖИЛЬЯ'!I111</f>
        <v>29911.113420000001</v>
      </c>
      <c r="J22" s="98"/>
      <c r="K22" s="53">
        <f t="shared" ref="K22:K23" si="8">L20+G22-I22</f>
        <v>-4807.263420000003</v>
      </c>
      <c r="L22" s="52"/>
      <c r="M22" s="3">
        <v>59300.27</v>
      </c>
    </row>
    <row r="23" spans="1:13" x14ac:dyDescent="0.3">
      <c r="A23" s="64" t="s">
        <v>78</v>
      </c>
      <c r="B23" s="65"/>
      <c r="C23" s="53">
        <f t="shared" si="0"/>
        <v>59300.27</v>
      </c>
      <c r="D23" s="53"/>
      <c r="E23" s="66">
        <v>31131.67</v>
      </c>
      <c r="F23" s="67"/>
      <c r="G23" s="66">
        <v>32257.279999999999</v>
      </c>
      <c r="H23" s="67"/>
      <c r="I23" s="68">
        <f>'СОДЕРЖАНИЕ ЖИЛЬЯ'!I119</f>
        <v>25303.023959999999</v>
      </c>
      <c r="J23" s="98"/>
      <c r="K23" s="53">
        <f t="shared" si="8"/>
        <v>6954.2560400000002</v>
      </c>
      <c r="L23" s="52"/>
      <c r="M23" s="3">
        <v>58210.48</v>
      </c>
    </row>
    <row r="24" spans="1:13" x14ac:dyDescent="0.3">
      <c r="A24" s="101" t="s">
        <v>8</v>
      </c>
      <c r="B24" s="101"/>
      <c r="C24" s="102"/>
      <c r="D24" s="103"/>
      <c r="E24" s="100">
        <f>SUM(E12:E23)</f>
        <v>373580.03999999986</v>
      </c>
      <c r="F24" s="101"/>
      <c r="G24" s="100">
        <f>SUM(G12:G23)</f>
        <v>354113.68999999994</v>
      </c>
      <c r="H24" s="100"/>
      <c r="I24" s="100">
        <f>SUM(I12:I23)</f>
        <v>350484.63514999999</v>
      </c>
      <c r="J24" s="100"/>
      <c r="K24" s="100">
        <f>G24-I24</f>
        <v>3629.0548499999568</v>
      </c>
      <c r="L24" s="101"/>
      <c r="M24" s="4">
        <f>M23</f>
        <v>58210.48</v>
      </c>
    </row>
    <row r="25" spans="1:13" x14ac:dyDescent="0.3">
      <c r="A25" s="64" t="s">
        <v>81</v>
      </c>
      <c r="B25" s="80"/>
      <c r="C25" s="80"/>
      <c r="D25" s="80"/>
      <c r="E25" s="80"/>
      <c r="F25" s="80"/>
      <c r="G25" s="80"/>
      <c r="H25" s="80"/>
      <c r="I25" s="80"/>
      <c r="J25" s="65"/>
      <c r="K25" s="66">
        <f>G24-I24</f>
        <v>3629.0548499999568</v>
      </c>
      <c r="L25" s="67"/>
      <c r="M25" s="4"/>
    </row>
    <row r="26" spans="1:13" x14ac:dyDescent="0.3">
      <c r="A26" s="99" t="s">
        <v>9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</row>
    <row r="27" spans="1:13" ht="46.5" customHeight="1" x14ac:dyDescent="0.3">
      <c r="A27" s="77" t="s">
        <v>10</v>
      </c>
      <c r="B27" s="78"/>
      <c r="C27" s="78"/>
      <c r="D27" s="79"/>
      <c r="E27" s="81" t="s">
        <v>6</v>
      </c>
      <c r="F27" s="82"/>
      <c r="G27" s="82"/>
      <c r="H27" s="83"/>
      <c r="I27" s="75" t="s">
        <v>2</v>
      </c>
      <c r="J27" s="88"/>
      <c r="K27" s="75" t="s">
        <v>3</v>
      </c>
      <c r="L27" s="75"/>
      <c r="M27" s="2" t="s">
        <v>7</v>
      </c>
    </row>
    <row r="28" spans="1:13" ht="17.25" customHeight="1" x14ac:dyDescent="0.3">
      <c r="A28" s="54" t="s">
        <v>58</v>
      </c>
      <c r="B28" s="55"/>
      <c r="C28" s="55"/>
      <c r="D28" s="56"/>
      <c r="E28" s="57">
        <v>207.18</v>
      </c>
      <c r="F28" s="58"/>
      <c r="G28" s="58"/>
      <c r="H28" s="59"/>
      <c r="I28" s="60">
        <f>180.46+180.46+180.46+180.46+180.46+180.46+180.46+180.46+180.46+180.46 +180.46 +180.46</f>
        <v>2165.52</v>
      </c>
      <c r="J28" s="61"/>
      <c r="K28" s="62">
        <f>159.22+175.69+169.88+159.95+168.04+184.66+167.15+162.38+153.24+219.75+145.52+187.94</f>
        <v>2053.4199999999996</v>
      </c>
      <c r="L28" s="63"/>
      <c r="M28" s="5">
        <v>320.52999999999997</v>
      </c>
    </row>
    <row r="29" spans="1:13" ht="17.25" customHeight="1" x14ac:dyDescent="0.3">
      <c r="A29" s="54" t="s">
        <v>59</v>
      </c>
      <c r="B29" s="55"/>
      <c r="C29" s="55"/>
      <c r="D29" s="56"/>
      <c r="E29" s="57">
        <v>207.08</v>
      </c>
      <c r="F29" s="58"/>
      <c r="G29" s="58"/>
      <c r="H29" s="59"/>
      <c r="I29" s="60">
        <f>180.46+180.46+180.46+180.46+180.46+180.46+180.46+180.46+180.46+180.46+180.46+180.46</f>
        <v>2165.52</v>
      </c>
      <c r="J29" s="61"/>
      <c r="K29" s="62">
        <f>159.22+175.59+169.88+159.95+168.04+184.66+167.15+162.38+153.24+219.75+145.52+187.94</f>
        <v>2053.3199999999997</v>
      </c>
      <c r="L29" s="63"/>
      <c r="M29" s="5">
        <v>320.52999999999997</v>
      </c>
    </row>
    <row r="30" spans="1:13" ht="17.25" customHeight="1" x14ac:dyDescent="0.3">
      <c r="A30" s="54" t="s">
        <v>60</v>
      </c>
      <c r="B30" s="55"/>
      <c r="C30" s="55"/>
      <c r="D30" s="56"/>
      <c r="E30" s="57">
        <v>464.94</v>
      </c>
      <c r="F30" s="58"/>
      <c r="G30" s="58"/>
      <c r="H30" s="59"/>
      <c r="I30" s="60">
        <f>405.51+405.51+405.51+405.51+405.51+405.51+405.51+405.51+405.51+405.51+405.51+405.51</f>
        <v>4866.1200000000008</v>
      </c>
      <c r="J30" s="61"/>
      <c r="K30" s="62">
        <f>357.83+394.77+381.69+359.39+377.5+415.1+375.63+364.85+344.32+493.84+327+422.37</f>
        <v>4614.29</v>
      </c>
      <c r="L30" s="63"/>
      <c r="M30" s="5">
        <v>719.59</v>
      </c>
    </row>
    <row r="31" spans="1:13" x14ac:dyDescent="0.3">
      <c r="A31" s="64" t="s">
        <v>61</v>
      </c>
      <c r="B31" s="80"/>
      <c r="C31" s="80"/>
      <c r="D31" s="65"/>
      <c r="E31" s="66">
        <v>464.68</v>
      </c>
      <c r="F31" s="84"/>
      <c r="G31" s="84"/>
      <c r="H31" s="67"/>
      <c r="I31" s="64">
        <f>405.51+405.51+405.51+405.51+405.51+405.51+405.51+405.51+405.51+405.51+1608.74+743.41</f>
        <v>6407.25</v>
      </c>
      <c r="J31" s="65"/>
      <c r="K31" s="66">
        <f>357.81+394.56+381.69+359.39+377.6+414.97+375.64+364.84+344.32+493.85+425.95+1476.18</f>
        <v>5766.8</v>
      </c>
      <c r="L31" s="67"/>
      <c r="M31" s="5">
        <v>1107.95</v>
      </c>
    </row>
    <row r="32" spans="1:13" x14ac:dyDescent="0.3">
      <c r="A32" s="64" t="s">
        <v>11</v>
      </c>
      <c r="B32" s="80"/>
      <c r="C32" s="80"/>
      <c r="D32" s="65"/>
      <c r="E32" s="66">
        <v>1579.29</v>
      </c>
      <c r="F32" s="84"/>
      <c r="G32" s="84"/>
      <c r="H32" s="67"/>
      <c r="I32" s="64">
        <f>1390.06+14171.67+14171.67+14171.67+14171.67</f>
        <v>58076.74</v>
      </c>
      <c r="J32" s="65"/>
      <c r="K32" s="66">
        <f>1226.62+1247.19+331.27+11380.2+346.51+1067.1+11667.99+252.15+573.17+13181.62+1663.95</f>
        <v>42937.77</v>
      </c>
      <c r="L32" s="67"/>
      <c r="M32" s="41">
        <v>15328.2</v>
      </c>
    </row>
    <row r="33" spans="1:13" x14ac:dyDescent="0.3">
      <c r="A33" s="76"/>
      <c r="B33" s="87"/>
      <c r="C33" s="87"/>
      <c r="D33" s="74"/>
      <c r="E33" s="73"/>
      <c r="F33" s="85"/>
      <c r="G33" s="85"/>
      <c r="H33" s="86"/>
      <c r="I33" s="73">
        <f>SUM(I28:I32)</f>
        <v>73681.149999999994</v>
      </c>
      <c r="J33" s="74"/>
      <c r="K33" s="76">
        <f>SUM(K28:K32)</f>
        <v>57425.599999999991</v>
      </c>
      <c r="L33" s="74"/>
      <c r="M33" s="4">
        <f>SUM(M28:M32)</f>
        <v>17796.800000000003</v>
      </c>
    </row>
    <row r="34" spans="1:13" x14ac:dyDescent="0.3">
      <c r="A34" s="72" t="s">
        <v>12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36">
        <v>13066.46</v>
      </c>
    </row>
    <row r="35" spans="1:13" x14ac:dyDescent="0.3">
      <c r="A35" s="49" t="s">
        <v>65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1"/>
      <c r="M35" s="36">
        <v>1289.3</v>
      </c>
    </row>
    <row r="36" spans="1:13" x14ac:dyDescent="0.3">
      <c r="A36" s="49" t="s">
        <v>66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1"/>
      <c r="M36" s="36">
        <v>2578.6</v>
      </c>
    </row>
    <row r="37" spans="1:13" x14ac:dyDescent="0.3">
      <c r="A37" s="72" t="s">
        <v>62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43">
        <v>1009.39</v>
      </c>
    </row>
    <row r="38" spans="1:13" x14ac:dyDescent="0.3">
      <c r="A38" s="6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1"/>
    </row>
    <row r="39" spans="1:13" ht="15.6" x14ac:dyDescent="0.3">
      <c r="A39" s="72" t="s">
        <v>95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9">
        <f>M24+M33+M34+M35+M36+M37</f>
        <v>93951.03</v>
      </c>
    </row>
    <row r="40" spans="1:13" x14ac:dyDescent="0.3">
      <c r="A40" s="72" t="s">
        <v>13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8">
        <f>L10+K25</f>
        <v>46217.85484999996</v>
      </c>
    </row>
    <row r="42" spans="1:13" x14ac:dyDescent="0.3">
      <c r="A42" s="47"/>
      <c r="B42" s="47"/>
      <c r="C42" s="47"/>
      <c r="D42" s="47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47"/>
      <c r="B43" s="47"/>
      <c r="C43" s="47"/>
      <c r="D43" s="47"/>
      <c r="K43" s="48"/>
      <c r="L43" s="48"/>
      <c r="M43" s="48"/>
    </row>
  </sheetData>
  <mergeCells count="147">
    <mergeCell ref="A26:M26"/>
    <mergeCell ref="A25:J25"/>
    <mergeCell ref="K25:L25"/>
    <mergeCell ref="K18:L18"/>
    <mergeCell ref="K19:L19"/>
    <mergeCell ref="K20:L20"/>
    <mergeCell ref="K21:L21"/>
    <mergeCell ref="K22:L22"/>
    <mergeCell ref="G18:H18"/>
    <mergeCell ref="G19:H19"/>
    <mergeCell ref="G20:H20"/>
    <mergeCell ref="G21:H21"/>
    <mergeCell ref="G22:H22"/>
    <mergeCell ref="I18:J18"/>
    <mergeCell ref="I19:J19"/>
    <mergeCell ref="I20:J20"/>
    <mergeCell ref="I21:J21"/>
    <mergeCell ref="I22:J22"/>
    <mergeCell ref="K24:L24"/>
    <mergeCell ref="A24:B24"/>
    <mergeCell ref="C24:D24"/>
    <mergeCell ref="E24:F24"/>
    <mergeCell ref="G24:H24"/>
    <mergeCell ref="I24:J24"/>
    <mergeCell ref="I23:J23"/>
    <mergeCell ref="K23:L23"/>
    <mergeCell ref="A23:B23"/>
    <mergeCell ref="C23:D23"/>
    <mergeCell ref="E23:F23"/>
    <mergeCell ref="G23:H23"/>
    <mergeCell ref="A22:B22"/>
    <mergeCell ref="C22:D22"/>
    <mergeCell ref="E22:F22"/>
    <mergeCell ref="A18:B18"/>
    <mergeCell ref="A19:B19"/>
    <mergeCell ref="A20:B20"/>
    <mergeCell ref="A21:B21"/>
    <mergeCell ref="G13:H13"/>
    <mergeCell ref="C20:D20"/>
    <mergeCell ref="C21:D21"/>
    <mergeCell ref="E15:F15"/>
    <mergeCell ref="G14:H14"/>
    <mergeCell ref="E16:F16"/>
    <mergeCell ref="G16:H16"/>
    <mergeCell ref="A13:B13"/>
    <mergeCell ref="A16:B16"/>
    <mergeCell ref="C13:D13"/>
    <mergeCell ref="C16:D16"/>
    <mergeCell ref="E13:F13"/>
    <mergeCell ref="C18:D18"/>
    <mergeCell ref="C19:D19"/>
    <mergeCell ref="E18:F18"/>
    <mergeCell ref="E19:F19"/>
    <mergeCell ref="E20:F20"/>
    <mergeCell ref="E21:F21"/>
    <mergeCell ref="A1:M1"/>
    <mergeCell ref="A2:D2"/>
    <mergeCell ref="E2:I2"/>
    <mergeCell ref="J2:M2"/>
    <mergeCell ref="A3:B3"/>
    <mergeCell ref="C3:M3"/>
    <mergeCell ref="I13:J13"/>
    <mergeCell ref="I16:J16"/>
    <mergeCell ref="A14:B14"/>
    <mergeCell ref="G15:H15"/>
    <mergeCell ref="I14:J14"/>
    <mergeCell ref="I15:J15"/>
    <mergeCell ref="K13:L13"/>
    <mergeCell ref="K16:L16"/>
    <mergeCell ref="A12:B12"/>
    <mergeCell ref="C12:D12"/>
    <mergeCell ref="E12:F12"/>
    <mergeCell ref="G12:H12"/>
    <mergeCell ref="I12:J12"/>
    <mergeCell ref="K12:L12"/>
    <mergeCell ref="A15:B15"/>
    <mergeCell ref="C14:D14"/>
    <mergeCell ref="C15:D15"/>
    <mergeCell ref="E14:F14"/>
    <mergeCell ref="A4:G4"/>
    <mergeCell ref="H4:M4"/>
    <mergeCell ref="A6:D6"/>
    <mergeCell ref="E6:F6"/>
    <mergeCell ref="G6:K6"/>
    <mergeCell ref="A11:B11"/>
    <mergeCell ref="C11:D11"/>
    <mergeCell ref="E11:F11"/>
    <mergeCell ref="G11:H11"/>
    <mergeCell ref="L6:M6"/>
    <mergeCell ref="L7:M7"/>
    <mergeCell ref="A8:M8"/>
    <mergeCell ref="A9:M9"/>
    <mergeCell ref="L10:M10"/>
    <mergeCell ref="A10:K10"/>
    <mergeCell ref="A7:D7"/>
    <mergeCell ref="E7:F7"/>
    <mergeCell ref="G7:K7"/>
    <mergeCell ref="I11:J11"/>
    <mergeCell ref="K11:L11"/>
    <mergeCell ref="A39:L39"/>
    <mergeCell ref="A40:L40"/>
    <mergeCell ref="K28:L28"/>
    <mergeCell ref="A34:L34"/>
    <mergeCell ref="A37:L37"/>
    <mergeCell ref="I31:J31"/>
    <mergeCell ref="I32:J32"/>
    <mergeCell ref="I33:J33"/>
    <mergeCell ref="K27:L27"/>
    <mergeCell ref="K31:L31"/>
    <mergeCell ref="K32:L32"/>
    <mergeCell ref="K33:L33"/>
    <mergeCell ref="A27:D27"/>
    <mergeCell ref="A28:D28"/>
    <mergeCell ref="A31:D31"/>
    <mergeCell ref="A32:D32"/>
    <mergeCell ref="E27:H27"/>
    <mergeCell ref="E28:H28"/>
    <mergeCell ref="E31:H31"/>
    <mergeCell ref="E32:H32"/>
    <mergeCell ref="E33:H33"/>
    <mergeCell ref="A33:D33"/>
    <mergeCell ref="I28:J28"/>
    <mergeCell ref="I27:J27"/>
    <mergeCell ref="A42:D42"/>
    <mergeCell ref="A43:D43"/>
    <mergeCell ref="K43:M43"/>
    <mergeCell ref="A36:L36"/>
    <mergeCell ref="A35:L35"/>
    <mergeCell ref="A5:G5"/>
    <mergeCell ref="H5:M5"/>
    <mergeCell ref="K14:L14"/>
    <mergeCell ref="K15:L15"/>
    <mergeCell ref="A29:D29"/>
    <mergeCell ref="E29:H29"/>
    <mergeCell ref="I29:J29"/>
    <mergeCell ref="K29:L29"/>
    <mergeCell ref="A30:D30"/>
    <mergeCell ref="E30:H30"/>
    <mergeCell ref="I30:J30"/>
    <mergeCell ref="K30:L30"/>
    <mergeCell ref="K17:L17"/>
    <mergeCell ref="A17:B17"/>
    <mergeCell ref="C17:D17"/>
    <mergeCell ref="E17:F17"/>
    <mergeCell ref="G17:H17"/>
    <mergeCell ref="I17:J17"/>
    <mergeCell ref="A38:M38"/>
  </mergeCells>
  <pageMargins left="0.39370078740157483" right="7.874015748031496E-2" top="0.35433070866141736" bottom="0.35433070866141736" header="0" footer="0"/>
  <pageSetup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P120"/>
  <sheetViews>
    <sheetView topLeftCell="A67" zoomScaleNormal="100" workbookViewId="0">
      <selection activeCell="F46" sqref="F46"/>
    </sheetView>
  </sheetViews>
  <sheetFormatPr defaultColWidth="9.109375" defaultRowHeight="13.8" x14ac:dyDescent="0.3"/>
  <cols>
    <col min="1" max="1" width="4.44140625" style="14" customWidth="1"/>
    <col min="2" max="2" width="6.5546875" style="14" customWidth="1"/>
    <col min="3" max="3" width="10.6640625" style="14" customWidth="1"/>
    <col min="4" max="4" width="6.88671875" style="14" customWidth="1"/>
    <col min="5" max="5" width="9.44140625" style="14" customWidth="1"/>
    <col min="6" max="6" width="25" style="14" customWidth="1"/>
    <col min="7" max="7" width="8.88671875" style="14" customWidth="1"/>
    <col min="8" max="8" width="8.33203125" style="14" customWidth="1"/>
    <col min="9" max="9" width="10.88671875" style="14" customWidth="1"/>
    <col min="10" max="16384" width="9.109375" style="14"/>
  </cols>
  <sheetData>
    <row r="1" spans="2:10" x14ac:dyDescent="0.3">
      <c r="B1" s="10"/>
      <c r="C1" s="11"/>
      <c r="D1" s="12"/>
      <c r="E1" s="13"/>
      <c r="F1" s="13"/>
      <c r="G1" s="10"/>
      <c r="H1" s="10"/>
    </row>
    <row r="2" spans="2:10" ht="18" x14ac:dyDescent="0.35">
      <c r="B2" s="15" t="s">
        <v>14</v>
      </c>
      <c r="C2" s="15"/>
      <c r="D2" s="16"/>
      <c r="E2" s="16"/>
      <c r="F2" s="16"/>
      <c r="G2" s="16"/>
      <c r="H2" s="17"/>
      <c r="I2" s="17"/>
    </row>
    <row r="3" spans="2:10" ht="18" x14ac:dyDescent="0.35">
      <c r="B3" s="15" t="s">
        <v>67</v>
      </c>
      <c r="C3" s="15"/>
      <c r="D3" s="16"/>
      <c r="E3" s="16"/>
      <c r="F3" s="16"/>
      <c r="G3" s="16"/>
      <c r="H3" s="17"/>
      <c r="I3" s="17"/>
    </row>
    <row r="4" spans="2:10" ht="18" x14ac:dyDescent="0.35">
      <c r="B4" s="15" t="s">
        <v>68</v>
      </c>
      <c r="C4" s="15"/>
      <c r="D4" s="18"/>
      <c r="E4" s="18"/>
      <c r="F4" s="15"/>
      <c r="G4" s="16"/>
      <c r="H4" s="17"/>
      <c r="I4" s="17"/>
    </row>
    <row r="5" spans="2:10" ht="18" x14ac:dyDescent="0.35">
      <c r="B5" s="15" t="s">
        <v>96</v>
      </c>
      <c r="C5" s="15"/>
      <c r="D5" s="18"/>
      <c r="E5" s="18"/>
      <c r="F5" s="15"/>
      <c r="G5" s="16"/>
      <c r="H5" s="17"/>
      <c r="I5" s="17"/>
    </row>
    <row r="6" spans="2:10" ht="18" x14ac:dyDescent="0.35">
      <c r="B6" s="27" t="s">
        <v>69</v>
      </c>
      <c r="C6" s="27"/>
      <c r="D6" s="28"/>
      <c r="E6" s="28"/>
      <c r="F6" s="27"/>
      <c r="G6" s="29"/>
      <c r="H6" s="29"/>
      <c r="I6" s="29"/>
      <c r="J6" s="30"/>
    </row>
    <row r="7" spans="2:10" x14ac:dyDescent="0.3">
      <c r="B7" s="19"/>
      <c r="C7" s="19"/>
      <c r="D7" s="19"/>
      <c r="E7" s="19"/>
      <c r="F7" s="19"/>
      <c r="G7" s="19"/>
      <c r="H7" s="20" t="s">
        <v>15</v>
      </c>
      <c r="I7" s="21">
        <f ca="1">TODAY()</f>
        <v>45379</v>
      </c>
    </row>
    <row r="8" spans="2:10" ht="12.75" customHeight="1" x14ac:dyDescent="0.3">
      <c r="B8" s="119" t="s">
        <v>16</v>
      </c>
      <c r="C8" s="113" t="s">
        <v>22</v>
      </c>
      <c r="D8" s="117" t="s">
        <v>17</v>
      </c>
      <c r="E8" s="115"/>
      <c r="F8" s="113" t="s">
        <v>18</v>
      </c>
      <c r="G8" s="113" t="s">
        <v>19</v>
      </c>
      <c r="H8" s="113" t="s">
        <v>20</v>
      </c>
      <c r="I8" s="115" t="s">
        <v>21</v>
      </c>
    </row>
    <row r="9" spans="2:10" ht="24" customHeight="1" x14ac:dyDescent="0.3">
      <c r="B9" s="120"/>
      <c r="C9" s="114"/>
      <c r="D9" s="118"/>
      <c r="E9" s="116"/>
      <c r="F9" s="121"/>
      <c r="G9" s="121"/>
      <c r="H9" s="114"/>
      <c r="I9" s="116"/>
    </row>
    <row r="10" spans="2:10" x14ac:dyDescent="0.3">
      <c r="B10" s="110" t="s">
        <v>97</v>
      </c>
      <c r="C10" s="111"/>
      <c r="D10" s="111"/>
      <c r="E10" s="111"/>
      <c r="F10" s="111"/>
      <c r="G10" s="111"/>
      <c r="H10" s="111"/>
      <c r="I10" s="112"/>
    </row>
    <row r="11" spans="2:10" ht="55.5" customHeight="1" x14ac:dyDescent="0.3">
      <c r="B11" s="22">
        <v>1</v>
      </c>
      <c r="C11" s="23" t="s">
        <v>98</v>
      </c>
      <c r="D11" s="104" t="s">
        <v>23</v>
      </c>
      <c r="E11" s="105"/>
      <c r="F11" s="24" t="s">
        <v>132</v>
      </c>
      <c r="G11" s="25" t="s">
        <v>24</v>
      </c>
      <c r="H11" s="25">
        <v>1</v>
      </c>
      <c r="I11" s="26">
        <f>(50219.25*1.9%)+(43935.56*1.6%)</f>
        <v>1657.1347099999998</v>
      </c>
    </row>
    <row r="12" spans="2:10" ht="55.5" customHeight="1" x14ac:dyDescent="0.3">
      <c r="B12" s="22">
        <v>2</v>
      </c>
      <c r="C12" s="23" t="s">
        <v>98</v>
      </c>
      <c r="D12" s="104" t="s">
        <v>23</v>
      </c>
      <c r="E12" s="105"/>
      <c r="F12" s="37" t="s">
        <v>79</v>
      </c>
      <c r="G12" s="25" t="s">
        <v>24</v>
      </c>
      <c r="H12" s="25">
        <v>1</v>
      </c>
      <c r="I12" s="26">
        <f>2999.2*0.05</f>
        <v>149.96</v>
      </c>
    </row>
    <row r="13" spans="2:10" ht="24.75" customHeight="1" x14ac:dyDescent="0.3">
      <c r="B13" s="22">
        <v>3</v>
      </c>
      <c r="C13" s="23" t="s">
        <v>98</v>
      </c>
      <c r="D13" s="104" t="s">
        <v>23</v>
      </c>
      <c r="E13" s="105"/>
      <c r="F13" s="24" t="s">
        <v>133</v>
      </c>
      <c r="G13" s="25" t="s">
        <v>70</v>
      </c>
      <c r="H13" s="25">
        <v>1</v>
      </c>
      <c r="I13" s="26">
        <v>1305</v>
      </c>
    </row>
    <row r="14" spans="2:10" ht="24.75" customHeight="1" x14ac:dyDescent="0.3">
      <c r="B14" s="22">
        <v>4</v>
      </c>
      <c r="C14" s="23" t="s">
        <v>98</v>
      </c>
      <c r="D14" s="104" t="s">
        <v>23</v>
      </c>
      <c r="E14" s="105"/>
      <c r="F14" s="24" t="s">
        <v>134</v>
      </c>
      <c r="G14" s="25" t="s">
        <v>70</v>
      </c>
      <c r="H14" s="25">
        <v>1</v>
      </c>
      <c r="I14" s="26">
        <v>1307</v>
      </c>
    </row>
    <row r="15" spans="2:10" ht="44.25" customHeight="1" x14ac:dyDescent="0.3">
      <c r="B15" s="22">
        <v>5</v>
      </c>
      <c r="C15" s="23" t="s">
        <v>98</v>
      </c>
      <c r="D15" s="104" t="s">
        <v>23</v>
      </c>
      <c r="E15" s="105"/>
      <c r="F15" s="24" t="s">
        <v>135</v>
      </c>
      <c r="G15" s="25" t="s">
        <v>70</v>
      </c>
      <c r="H15" s="25">
        <v>1</v>
      </c>
      <c r="I15" s="26">
        <v>1321</v>
      </c>
    </row>
    <row r="16" spans="2:10" ht="43.5" customHeight="1" x14ac:dyDescent="0.3">
      <c r="B16" s="22">
        <v>6</v>
      </c>
      <c r="C16" s="23" t="s">
        <v>98</v>
      </c>
      <c r="D16" s="104" t="s">
        <v>23</v>
      </c>
      <c r="E16" s="105"/>
      <c r="F16" s="24" t="s">
        <v>136</v>
      </c>
      <c r="G16" s="25" t="s">
        <v>70</v>
      </c>
      <c r="H16" s="25">
        <v>1</v>
      </c>
      <c r="I16" s="26">
        <v>1360</v>
      </c>
    </row>
    <row r="17" spans="2:9" ht="24.75" customHeight="1" x14ac:dyDescent="0.3">
      <c r="B17" s="22">
        <v>7</v>
      </c>
      <c r="C17" s="23" t="s">
        <v>98</v>
      </c>
      <c r="D17" s="104" t="s">
        <v>23</v>
      </c>
      <c r="E17" s="105"/>
      <c r="F17" s="24" t="s">
        <v>137</v>
      </c>
      <c r="G17" s="25" t="s">
        <v>70</v>
      </c>
      <c r="H17" s="25">
        <v>1</v>
      </c>
      <c r="I17" s="26">
        <v>10930</v>
      </c>
    </row>
    <row r="18" spans="2:9" ht="24.75" customHeight="1" x14ac:dyDescent="0.3">
      <c r="B18" s="22">
        <v>8</v>
      </c>
      <c r="C18" s="23" t="s">
        <v>98</v>
      </c>
      <c r="D18" s="104" t="s">
        <v>23</v>
      </c>
      <c r="E18" s="105"/>
      <c r="F18" s="24" t="s">
        <v>138</v>
      </c>
      <c r="G18" s="25" t="s">
        <v>70</v>
      </c>
      <c r="H18" s="25">
        <v>1</v>
      </c>
      <c r="I18" s="26">
        <v>1381</v>
      </c>
    </row>
    <row r="19" spans="2:9" ht="15.75" customHeight="1" x14ac:dyDescent="0.3">
      <c r="B19" s="107" t="s">
        <v>170</v>
      </c>
      <c r="C19" s="108"/>
      <c r="D19" s="108"/>
      <c r="E19" s="108"/>
      <c r="F19" s="108"/>
      <c r="G19" s="108"/>
      <c r="H19" s="109"/>
      <c r="I19" s="38">
        <f>SUM(I11:I18)</f>
        <v>19411.094709999998</v>
      </c>
    </row>
    <row r="20" spans="2:9" x14ac:dyDescent="0.3">
      <c r="B20" s="110" t="s">
        <v>100</v>
      </c>
      <c r="C20" s="111"/>
      <c r="D20" s="111"/>
      <c r="E20" s="111"/>
      <c r="F20" s="111"/>
      <c r="G20" s="111"/>
      <c r="H20" s="111"/>
      <c r="I20" s="112"/>
    </row>
    <row r="21" spans="2:9" ht="52.5" customHeight="1" x14ac:dyDescent="0.3">
      <c r="B21" s="22">
        <v>1</v>
      </c>
      <c r="C21" s="23" t="s">
        <v>103</v>
      </c>
      <c r="D21" s="104" t="s">
        <v>23</v>
      </c>
      <c r="E21" s="105"/>
      <c r="F21" s="24" t="s">
        <v>132</v>
      </c>
      <c r="G21" s="25" t="s">
        <v>24</v>
      </c>
      <c r="H21" s="25">
        <v>1</v>
      </c>
      <c r="I21" s="26">
        <f>(47439.13*1.9%)+(48912.92*1.6%)</f>
        <v>1683.95019</v>
      </c>
    </row>
    <row r="22" spans="2:9" ht="56.25" customHeight="1" x14ac:dyDescent="0.3">
      <c r="B22" s="22">
        <v>2</v>
      </c>
      <c r="C22" s="23" t="s">
        <v>103</v>
      </c>
      <c r="D22" s="104" t="s">
        <v>23</v>
      </c>
      <c r="E22" s="105"/>
      <c r="F22" s="37" t="s">
        <v>79</v>
      </c>
      <c r="G22" s="25" t="s">
        <v>24</v>
      </c>
      <c r="H22" s="25">
        <v>1</v>
      </c>
      <c r="I22" s="26">
        <f>I12</f>
        <v>149.96</v>
      </c>
    </row>
    <row r="23" spans="2:9" ht="43.5" customHeight="1" x14ac:dyDescent="0.3">
      <c r="B23" s="22">
        <v>3</v>
      </c>
      <c r="C23" s="23" t="s">
        <v>103</v>
      </c>
      <c r="D23" s="104" t="s">
        <v>23</v>
      </c>
      <c r="E23" s="105"/>
      <c r="F23" s="24" t="s">
        <v>139</v>
      </c>
      <c r="G23" s="25" t="s">
        <v>70</v>
      </c>
      <c r="H23" s="25">
        <v>1</v>
      </c>
      <c r="I23" s="26">
        <v>1603</v>
      </c>
    </row>
    <row r="24" spans="2:9" ht="39" customHeight="1" x14ac:dyDescent="0.3">
      <c r="B24" s="22">
        <v>4</v>
      </c>
      <c r="C24" s="23" t="s">
        <v>103</v>
      </c>
      <c r="D24" s="104" t="s">
        <v>23</v>
      </c>
      <c r="E24" s="105"/>
      <c r="F24" s="24" t="s">
        <v>140</v>
      </c>
      <c r="G24" s="25" t="s">
        <v>70</v>
      </c>
      <c r="H24" s="25">
        <v>1</v>
      </c>
      <c r="I24" s="26">
        <v>13708</v>
      </c>
    </row>
    <row r="25" spans="2:9" ht="42.75" customHeight="1" x14ac:dyDescent="0.3">
      <c r="B25" s="22">
        <v>5</v>
      </c>
      <c r="C25" s="23" t="s">
        <v>103</v>
      </c>
      <c r="D25" s="104" t="s">
        <v>23</v>
      </c>
      <c r="E25" s="105"/>
      <c r="F25" s="24" t="s">
        <v>141</v>
      </c>
      <c r="G25" s="25" t="s">
        <v>70</v>
      </c>
      <c r="H25" s="25">
        <v>1</v>
      </c>
      <c r="I25" s="26">
        <v>1662</v>
      </c>
    </row>
    <row r="26" spans="2:9" ht="24.75" customHeight="1" x14ac:dyDescent="0.3">
      <c r="B26" s="22">
        <v>6</v>
      </c>
      <c r="C26" s="23" t="s">
        <v>103</v>
      </c>
      <c r="D26" s="104" t="s">
        <v>23</v>
      </c>
      <c r="E26" s="105"/>
      <c r="F26" s="24" t="s">
        <v>142</v>
      </c>
      <c r="G26" s="25" t="s">
        <v>70</v>
      </c>
      <c r="H26" s="25">
        <v>1</v>
      </c>
      <c r="I26" s="26">
        <v>1603</v>
      </c>
    </row>
    <row r="27" spans="2:9" ht="24.75" customHeight="1" x14ac:dyDescent="0.3">
      <c r="B27" s="22">
        <v>7</v>
      </c>
      <c r="C27" s="23" t="s">
        <v>103</v>
      </c>
      <c r="D27" s="104" t="s">
        <v>23</v>
      </c>
      <c r="E27" s="105"/>
      <c r="F27" s="24" t="s">
        <v>143</v>
      </c>
      <c r="G27" s="25" t="s">
        <v>70</v>
      </c>
      <c r="H27" s="25">
        <v>1</v>
      </c>
      <c r="I27" s="26">
        <v>1547</v>
      </c>
    </row>
    <row r="28" spans="2:9" ht="24.75" customHeight="1" x14ac:dyDescent="0.3">
      <c r="B28" s="22">
        <v>8</v>
      </c>
      <c r="C28" s="23" t="s">
        <v>103</v>
      </c>
      <c r="D28" s="104" t="s">
        <v>23</v>
      </c>
      <c r="E28" s="105"/>
      <c r="F28" s="24" t="s">
        <v>144</v>
      </c>
      <c r="G28" s="25" t="s">
        <v>70</v>
      </c>
      <c r="H28" s="25">
        <v>1</v>
      </c>
      <c r="I28" s="26">
        <v>1000</v>
      </c>
    </row>
    <row r="29" spans="2:9" ht="24.75" customHeight="1" x14ac:dyDescent="0.3">
      <c r="B29" s="22">
        <v>9</v>
      </c>
      <c r="C29" s="23" t="s">
        <v>103</v>
      </c>
      <c r="D29" s="104" t="s">
        <v>23</v>
      </c>
      <c r="E29" s="105"/>
      <c r="F29" s="24" t="s">
        <v>145</v>
      </c>
      <c r="G29" s="25" t="s">
        <v>70</v>
      </c>
      <c r="H29" s="25">
        <v>1</v>
      </c>
      <c r="I29" s="26">
        <v>9725</v>
      </c>
    </row>
    <row r="30" spans="2:9" ht="15.75" customHeight="1" x14ac:dyDescent="0.3">
      <c r="B30" s="107" t="s">
        <v>99</v>
      </c>
      <c r="C30" s="108"/>
      <c r="D30" s="108"/>
      <c r="E30" s="108"/>
      <c r="F30" s="108"/>
      <c r="G30" s="108"/>
      <c r="H30" s="109"/>
      <c r="I30" s="38">
        <f>SUM(I21:I29)</f>
        <v>32681.910189999999</v>
      </c>
    </row>
    <row r="31" spans="2:9" x14ac:dyDescent="0.3">
      <c r="B31" s="110" t="s">
        <v>101</v>
      </c>
      <c r="C31" s="111"/>
      <c r="D31" s="111"/>
      <c r="E31" s="111"/>
      <c r="F31" s="111"/>
      <c r="G31" s="111"/>
      <c r="H31" s="111"/>
      <c r="I31" s="112"/>
    </row>
    <row r="32" spans="2:9" ht="52.8" x14ac:dyDescent="0.3">
      <c r="B32" s="22">
        <v>1</v>
      </c>
      <c r="C32" s="23" t="s">
        <v>102</v>
      </c>
      <c r="D32" s="104" t="s">
        <v>23</v>
      </c>
      <c r="E32" s="105"/>
      <c r="F32" s="24" t="s">
        <v>132</v>
      </c>
      <c r="G32" s="25" t="s">
        <v>24</v>
      </c>
      <c r="H32" s="25">
        <v>1</v>
      </c>
      <c r="I32" s="26">
        <f>(63000.86*1.9%)+(46279.41*1.6%)</f>
        <v>1937.4868999999999</v>
      </c>
    </row>
    <row r="33" spans="2:9" ht="52.5" customHeight="1" x14ac:dyDescent="0.3">
      <c r="B33" s="22">
        <v>2</v>
      </c>
      <c r="C33" s="23" t="s">
        <v>102</v>
      </c>
      <c r="D33" s="104" t="s">
        <v>23</v>
      </c>
      <c r="E33" s="105"/>
      <c r="F33" s="37" t="s">
        <v>79</v>
      </c>
      <c r="G33" s="25" t="s">
        <v>24</v>
      </c>
      <c r="H33" s="25">
        <v>1</v>
      </c>
      <c r="I33" s="26">
        <f>I22</f>
        <v>149.96</v>
      </c>
    </row>
    <row r="34" spans="2:9" ht="26.4" x14ac:dyDescent="0.3">
      <c r="B34" s="22">
        <v>3</v>
      </c>
      <c r="C34" s="23" t="s">
        <v>102</v>
      </c>
      <c r="D34" s="104" t="s">
        <v>23</v>
      </c>
      <c r="E34" s="105"/>
      <c r="F34" s="24" t="s">
        <v>146</v>
      </c>
      <c r="G34" s="25" t="s">
        <v>70</v>
      </c>
      <c r="H34" s="25">
        <v>1</v>
      </c>
      <c r="I34" s="26">
        <v>1591</v>
      </c>
    </row>
    <row r="35" spans="2:9" ht="18.75" customHeight="1" x14ac:dyDescent="0.3">
      <c r="B35" s="22">
        <v>4</v>
      </c>
      <c r="C35" s="23" t="s">
        <v>102</v>
      </c>
      <c r="D35" s="104" t="s">
        <v>23</v>
      </c>
      <c r="E35" s="105"/>
      <c r="F35" s="24" t="s">
        <v>147</v>
      </c>
      <c r="G35" s="25" t="s">
        <v>70</v>
      </c>
      <c r="H35" s="25">
        <v>1</v>
      </c>
      <c r="I35" s="26">
        <v>3590</v>
      </c>
    </row>
    <row r="36" spans="2:9" ht="39.6" x14ac:dyDescent="0.3">
      <c r="B36" s="22">
        <v>5</v>
      </c>
      <c r="C36" s="23" t="s">
        <v>102</v>
      </c>
      <c r="D36" s="104" t="s">
        <v>23</v>
      </c>
      <c r="E36" s="105"/>
      <c r="F36" s="24" t="s">
        <v>148</v>
      </c>
      <c r="G36" s="25" t="s">
        <v>70</v>
      </c>
      <c r="H36" s="25">
        <v>1</v>
      </c>
      <c r="I36" s="26">
        <v>2200</v>
      </c>
    </row>
    <row r="37" spans="2:9" ht="39.6" x14ac:dyDescent="0.3">
      <c r="B37" s="22">
        <v>6</v>
      </c>
      <c r="C37" s="23" t="s">
        <v>102</v>
      </c>
      <c r="D37" s="104" t="s">
        <v>23</v>
      </c>
      <c r="E37" s="105"/>
      <c r="F37" s="37" t="s">
        <v>149</v>
      </c>
      <c r="G37" s="25" t="s">
        <v>70</v>
      </c>
      <c r="H37" s="25">
        <v>1</v>
      </c>
      <c r="I37" s="26">
        <v>1589</v>
      </c>
    </row>
    <row r="38" spans="2:9" ht="26.4" x14ac:dyDescent="0.3">
      <c r="B38" s="22">
        <v>7</v>
      </c>
      <c r="C38" s="23" t="s">
        <v>102</v>
      </c>
      <c r="D38" s="104" t="s">
        <v>23</v>
      </c>
      <c r="E38" s="105"/>
      <c r="F38" s="37" t="s">
        <v>150</v>
      </c>
      <c r="G38" s="25" t="s">
        <v>70</v>
      </c>
      <c r="H38" s="25">
        <v>1</v>
      </c>
      <c r="I38" s="26">
        <v>1591</v>
      </c>
    </row>
    <row r="39" spans="2:9" x14ac:dyDescent="0.3">
      <c r="B39" s="107" t="s">
        <v>104</v>
      </c>
      <c r="C39" s="108"/>
      <c r="D39" s="108"/>
      <c r="E39" s="108"/>
      <c r="F39" s="108"/>
      <c r="G39" s="108"/>
      <c r="H39" s="109"/>
      <c r="I39" s="38">
        <f>SUM(I32:I38)</f>
        <v>12648.446899999999</v>
      </c>
    </row>
    <row r="40" spans="2:9" x14ac:dyDescent="0.3">
      <c r="B40" s="110" t="s">
        <v>105</v>
      </c>
      <c r="C40" s="111"/>
      <c r="D40" s="111"/>
      <c r="E40" s="111"/>
      <c r="F40" s="111"/>
      <c r="G40" s="111"/>
      <c r="H40" s="111"/>
      <c r="I40" s="112"/>
    </row>
    <row r="41" spans="2:9" ht="52.8" x14ac:dyDescent="0.3">
      <c r="B41" s="22">
        <v>1</v>
      </c>
      <c r="C41" s="23" t="s">
        <v>106</v>
      </c>
      <c r="D41" s="104" t="s">
        <v>23</v>
      </c>
      <c r="E41" s="105"/>
      <c r="F41" s="24" t="s">
        <v>132</v>
      </c>
      <c r="G41" s="25" t="s">
        <v>24</v>
      </c>
      <c r="H41" s="25">
        <v>1</v>
      </c>
      <c r="I41" s="26">
        <f>(39831.59*1.9%)+(53582.13*1.6%)</f>
        <v>1614.11429</v>
      </c>
    </row>
    <row r="42" spans="2:9" ht="52.5" customHeight="1" x14ac:dyDescent="0.3">
      <c r="B42" s="22">
        <v>2</v>
      </c>
      <c r="C42" s="23" t="s">
        <v>106</v>
      </c>
      <c r="D42" s="104" t="s">
        <v>23</v>
      </c>
      <c r="E42" s="105"/>
      <c r="F42" s="37" t="s">
        <v>79</v>
      </c>
      <c r="G42" s="25" t="s">
        <v>24</v>
      </c>
      <c r="H42" s="25">
        <v>1</v>
      </c>
      <c r="I42" s="26">
        <f>I33</f>
        <v>149.96</v>
      </c>
    </row>
    <row r="43" spans="2:9" ht="26.4" x14ac:dyDescent="0.3">
      <c r="B43" s="22">
        <v>3</v>
      </c>
      <c r="C43" s="23" t="s">
        <v>106</v>
      </c>
      <c r="D43" s="104" t="s">
        <v>23</v>
      </c>
      <c r="E43" s="105"/>
      <c r="F43" s="24" t="s">
        <v>151</v>
      </c>
      <c r="G43" s="25" t="s">
        <v>70</v>
      </c>
      <c r="H43" s="25">
        <v>1</v>
      </c>
      <c r="I43" s="26">
        <v>2480.87</v>
      </c>
    </row>
    <row r="44" spans="2:9" ht="26.4" x14ac:dyDescent="0.3">
      <c r="B44" s="22">
        <v>4</v>
      </c>
      <c r="C44" s="23" t="s">
        <v>106</v>
      </c>
      <c r="D44" s="104" t="s">
        <v>23</v>
      </c>
      <c r="E44" s="105"/>
      <c r="F44" s="24" t="s">
        <v>152</v>
      </c>
      <c r="G44" s="25" t="s">
        <v>70</v>
      </c>
      <c r="H44" s="25">
        <v>1</v>
      </c>
      <c r="I44" s="26">
        <v>5796.42</v>
      </c>
    </row>
    <row r="45" spans="2:9" ht="39.6" x14ac:dyDescent="0.3">
      <c r="B45" s="22">
        <v>5</v>
      </c>
      <c r="C45" s="23" t="s">
        <v>106</v>
      </c>
      <c r="D45" s="104" t="s">
        <v>23</v>
      </c>
      <c r="E45" s="105"/>
      <c r="F45" s="37" t="s">
        <v>153</v>
      </c>
      <c r="G45" s="25" t="s">
        <v>70</v>
      </c>
      <c r="H45" s="25">
        <v>1</v>
      </c>
      <c r="I45" s="26">
        <v>8630.24</v>
      </c>
    </row>
    <row r="46" spans="2:9" ht="26.4" x14ac:dyDescent="0.3">
      <c r="B46" s="22">
        <v>6</v>
      </c>
      <c r="C46" s="23" t="s">
        <v>106</v>
      </c>
      <c r="D46" s="104" t="s">
        <v>23</v>
      </c>
      <c r="E46" s="105"/>
      <c r="F46" s="24" t="s">
        <v>188</v>
      </c>
      <c r="G46" s="25" t="s">
        <v>70</v>
      </c>
      <c r="H46" s="25">
        <v>1</v>
      </c>
      <c r="I46" s="26">
        <v>1652</v>
      </c>
    </row>
    <row r="47" spans="2:9" ht="26.4" x14ac:dyDescent="0.3">
      <c r="B47" s="22">
        <v>7</v>
      </c>
      <c r="C47" s="23" t="s">
        <v>106</v>
      </c>
      <c r="D47" s="104" t="s">
        <v>23</v>
      </c>
      <c r="E47" s="105"/>
      <c r="F47" s="24" t="s">
        <v>154</v>
      </c>
      <c r="G47" s="25" t="s">
        <v>70</v>
      </c>
      <c r="H47" s="25">
        <v>1</v>
      </c>
      <c r="I47" s="26">
        <v>26936.959999999999</v>
      </c>
    </row>
    <row r="48" spans="2:9" ht="26.4" x14ac:dyDescent="0.3">
      <c r="B48" s="22">
        <v>8</v>
      </c>
      <c r="C48" s="23" t="s">
        <v>106</v>
      </c>
      <c r="D48" s="104" t="s">
        <v>23</v>
      </c>
      <c r="E48" s="105"/>
      <c r="F48" s="24" t="s">
        <v>155</v>
      </c>
      <c r="G48" s="25" t="s">
        <v>70</v>
      </c>
      <c r="H48" s="25">
        <v>1</v>
      </c>
      <c r="I48" s="26">
        <v>1691.26</v>
      </c>
    </row>
    <row r="49" spans="2:9" ht="39.6" x14ac:dyDescent="0.3">
      <c r="B49" s="22">
        <v>9</v>
      </c>
      <c r="C49" s="23" t="s">
        <v>106</v>
      </c>
      <c r="D49" s="104" t="s">
        <v>23</v>
      </c>
      <c r="E49" s="105"/>
      <c r="F49" s="24" t="s">
        <v>156</v>
      </c>
      <c r="G49" s="25" t="s">
        <v>70</v>
      </c>
      <c r="H49" s="25">
        <v>1</v>
      </c>
      <c r="I49" s="26">
        <v>6703</v>
      </c>
    </row>
    <row r="50" spans="2:9" ht="26.4" x14ac:dyDescent="0.3">
      <c r="B50" s="22">
        <v>10</v>
      </c>
      <c r="C50" s="23" t="s">
        <v>106</v>
      </c>
      <c r="D50" s="104" t="s">
        <v>23</v>
      </c>
      <c r="E50" s="105"/>
      <c r="F50" s="24" t="s">
        <v>157</v>
      </c>
      <c r="G50" s="25" t="s">
        <v>70</v>
      </c>
      <c r="H50" s="25">
        <v>1</v>
      </c>
      <c r="I50" s="26">
        <v>2454</v>
      </c>
    </row>
    <row r="51" spans="2:9" ht="26.4" x14ac:dyDescent="0.3">
      <c r="B51" s="22">
        <v>11</v>
      </c>
      <c r="C51" s="23" t="s">
        <v>106</v>
      </c>
      <c r="D51" s="104" t="s">
        <v>23</v>
      </c>
      <c r="E51" s="105"/>
      <c r="F51" s="37" t="s">
        <v>150</v>
      </c>
      <c r="G51" s="25" t="s">
        <v>70</v>
      </c>
      <c r="H51" s="25">
        <v>3</v>
      </c>
      <c r="I51" s="26">
        <v>3000</v>
      </c>
    </row>
    <row r="52" spans="2:9" ht="26.4" x14ac:dyDescent="0.3">
      <c r="B52" s="22">
        <v>12</v>
      </c>
      <c r="C52" s="23" t="s">
        <v>106</v>
      </c>
      <c r="D52" s="104" t="s">
        <v>23</v>
      </c>
      <c r="E52" s="105"/>
      <c r="F52" s="24" t="s">
        <v>158</v>
      </c>
      <c r="G52" s="25" t="s">
        <v>70</v>
      </c>
      <c r="H52" s="25">
        <v>1</v>
      </c>
      <c r="I52" s="26">
        <v>1675</v>
      </c>
    </row>
    <row r="53" spans="2:9" x14ac:dyDescent="0.3">
      <c r="B53" s="107" t="s">
        <v>107</v>
      </c>
      <c r="C53" s="108"/>
      <c r="D53" s="108"/>
      <c r="E53" s="108"/>
      <c r="F53" s="108"/>
      <c r="G53" s="108"/>
      <c r="H53" s="109"/>
      <c r="I53" s="38">
        <f>SUM(I41:I52)</f>
        <v>62783.824289999997</v>
      </c>
    </row>
    <row r="54" spans="2:9" x14ac:dyDescent="0.3">
      <c r="B54" s="110" t="s">
        <v>108</v>
      </c>
      <c r="C54" s="111"/>
      <c r="D54" s="111"/>
      <c r="E54" s="111"/>
      <c r="F54" s="111"/>
      <c r="G54" s="111"/>
      <c r="H54" s="111"/>
      <c r="I54" s="112"/>
    </row>
    <row r="55" spans="2:9" ht="52.8" x14ac:dyDescent="0.3">
      <c r="B55" s="22">
        <v>1</v>
      </c>
      <c r="C55" s="23" t="s">
        <v>109</v>
      </c>
      <c r="D55" s="104" t="s">
        <v>23</v>
      </c>
      <c r="E55" s="105"/>
      <c r="F55" s="24" t="s">
        <v>132</v>
      </c>
      <c r="G55" s="25" t="s">
        <v>24</v>
      </c>
      <c r="H55" s="25">
        <v>1</v>
      </c>
      <c r="I55" s="26">
        <f>(39831.59*1.9%)+(40193.39*1.6%)</f>
        <v>1399.8944499999998</v>
      </c>
    </row>
    <row r="56" spans="2:9" ht="52.5" customHeight="1" x14ac:dyDescent="0.3">
      <c r="B56" s="22">
        <v>2</v>
      </c>
      <c r="C56" s="23" t="s">
        <v>109</v>
      </c>
      <c r="D56" s="104" t="s">
        <v>23</v>
      </c>
      <c r="E56" s="105"/>
      <c r="F56" s="37" t="s">
        <v>79</v>
      </c>
      <c r="G56" s="25" t="s">
        <v>24</v>
      </c>
      <c r="H56" s="25">
        <v>1</v>
      </c>
      <c r="I56" s="26">
        <f>I42</f>
        <v>149.96</v>
      </c>
    </row>
    <row r="57" spans="2:9" ht="26.4" x14ac:dyDescent="0.3">
      <c r="B57" s="22">
        <v>3</v>
      </c>
      <c r="C57" s="23" t="s">
        <v>109</v>
      </c>
      <c r="D57" s="104" t="s">
        <v>23</v>
      </c>
      <c r="E57" s="105"/>
      <c r="F57" s="24" t="s">
        <v>159</v>
      </c>
      <c r="G57" s="25" t="s">
        <v>70</v>
      </c>
      <c r="H57" s="25">
        <v>1</v>
      </c>
      <c r="I57" s="26">
        <v>1000</v>
      </c>
    </row>
    <row r="58" spans="2:9" ht="26.4" x14ac:dyDescent="0.3">
      <c r="B58" s="22">
        <v>4</v>
      </c>
      <c r="C58" s="23" t="s">
        <v>109</v>
      </c>
      <c r="D58" s="104" t="s">
        <v>23</v>
      </c>
      <c r="E58" s="105"/>
      <c r="F58" s="24" t="s">
        <v>160</v>
      </c>
      <c r="G58" s="25" t="s">
        <v>70</v>
      </c>
      <c r="H58" s="25">
        <v>1</v>
      </c>
      <c r="I58" s="26">
        <v>1622</v>
      </c>
    </row>
    <row r="59" spans="2:9" ht="30.75" customHeight="1" x14ac:dyDescent="0.3">
      <c r="B59" s="22">
        <v>5</v>
      </c>
      <c r="C59" s="23" t="s">
        <v>109</v>
      </c>
      <c r="D59" s="104" t="s">
        <v>23</v>
      </c>
      <c r="E59" s="105"/>
      <c r="F59" s="37" t="s">
        <v>161</v>
      </c>
      <c r="G59" s="25" t="s">
        <v>70</v>
      </c>
      <c r="H59" s="25">
        <v>1</v>
      </c>
      <c r="I59" s="26">
        <v>1625</v>
      </c>
    </row>
    <row r="60" spans="2:9" ht="39.6" x14ac:dyDescent="0.3">
      <c r="B60" s="22">
        <v>6</v>
      </c>
      <c r="C60" s="23" t="s">
        <v>109</v>
      </c>
      <c r="D60" s="104" t="s">
        <v>23</v>
      </c>
      <c r="E60" s="105"/>
      <c r="F60" s="24" t="s">
        <v>162</v>
      </c>
      <c r="G60" s="25" t="s">
        <v>70</v>
      </c>
      <c r="H60" s="25">
        <v>1</v>
      </c>
      <c r="I60" s="26">
        <v>2356</v>
      </c>
    </row>
    <row r="61" spans="2:9" x14ac:dyDescent="0.3">
      <c r="B61" s="22">
        <v>7</v>
      </c>
      <c r="C61" s="23" t="s">
        <v>109</v>
      </c>
      <c r="D61" s="104" t="s">
        <v>23</v>
      </c>
      <c r="E61" s="105"/>
      <c r="F61" s="24" t="s">
        <v>163</v>
      </c>
      <c r="G61" s="25" t="s">
        <v>70</v>
      </c>
      <c r="H61" s="25">
        <v>1</v>
      </c>
      <c r="I61" s="26">
        <v>5598</v>
      </c>
    </row>
    <row r="62" spans="2:9" ht="26.4" x14ac:dyDescent="0.3">
      <c r="B62" s="22">
        <v>8</v>
      </c>
      <c r="C62" s="23" t="s">
        <v>109</v>
      </c>
      <c r="D62" s="104" t="s">
        <v>23</v>
      </c>
      <c r="E62" s="105"/>
      <c r="F62" s="37" t="s">
        <v>150</v>
      </c>
      <c r="G62" s="25" t="s">
        <v>70</v>
      </c>
      <c r="H62" s="25">
        <v>3</v>
      </c>
      <c r="I62" s="26">
        <v>3000</v>
      </c>
    </row>
    <row r="63" spans="2:9" ht="26.4" x14ac:dyDescent="0.3">
      <c r="B63" s="22">
        <v>9</v>
      </c>
      <c r="C63" s="23" t="s">
        <v>109</v>
      </c>
      <c r="D63" s="104" t="s">
        <v>23</v>
      </c>
      <c r="E63" s="105"/>
      <c r="F63" s="24" t="s">
        <v>164</v>
      </c>
      <c r="G63" s="25" t="s">
        <v>70</v>
      </c>
      <c r="H63" s="25">
        <v>1</v>
      </c>
      <c r="I63" s="26">
        <v>4505</v>
      </c>
    </row>
    <row r="64" spans="2:9" x14ac:dyDescent="0.3">
      <c r="B64" s="107" t="s">
        <v>110</v>
      </c>
      <c r="C64" s="108"/>
      <c r="D64" s="108"/>
      <c r="E64" s="108"/>
      <c r="F64" s="108"/>
      <c r="G64" s="108"/>
      <c r="H64" s="109"/>
      <c r="I64" s="38">
        <f>SUM(I55:I63)</f>
        <v>21255.854449999999</v>
      </c>
    </row>
    <row r="65" spans="2:11" x14ac:dyDescent="0.3">
      <c r="B65" s="110" t="s">
        <v>111</v>
      </c>
      <c r="C65" s="111"/>
      <c r="D65" s="111"/>
      <c r="E65" s="111"/>
      <c r="F65" s="111"/>
      <c r="G65" s="111"/>
      <c r="H65" s="111"/>
      <c r="I65" s="112"/>
    </row>
    <row r="66" spans="2:11" ht="52.8" x14ac:dyDescent="0.3">
      <c r="B66" s="22">
        <v>1</v>
      </c>
      <c r="C66" s="23" t="s">
        <v>112</v>
      </c>
      <c r="D66" s="104" t="s">
        <v>23</v>
      </c>
      <c r="E66" s="105"/>
      <c r="F66" s="24" t="s">
        <v>132</v>
      </c>
      <c r="G66" s="25" t="s">
        <v>72</v>
      </c>
      <c r="H66" s="25">
        <v>1</v>
      </c>
      <c r="I66" s="26">
        <f>(54003.26*1.9%)+(40004*1.6%)</f>
        <v>1666.1259399999999</v>
      </c>
    </row>
    <row r="67" spans="2:11" ht="52.5" customHeight="1" x14ac:dyDescent="0.3">
      <c r="B67" s="22">
        <v>2</v>
      </c>
      <c r="C67" s="23" t="s">
        <v>112</v>
      </c>
      <c r="D67" s="104" t="s">
        <v>23</v>
      </c>
      <c r="E67" s="105"/>
      <c r="F67" s="37" t="s">
        <v>79</v>
      </c>
      <c r="G67" s="25" t="s">
        <v>24</v>
      </c>
      <c r="H67" s="25">
        <v>1</v>
      </c>
      <c r="I67" s="26">
        <f>I56</f>
        <v>149.96</v>
      </c>
    </row>
    <row r="68" spans="2:11" ht="39.6" x14ac:dyDescent="0.3">
      <c r="B68" s="22">
        <v>3</v>
      </c>
      <c r="C68" s="23" t="s">
        <v>112</v>
      </c>
      <c r="D68" s="104" t="s">
        <v>23</v>
      </c>
      <c r="E68" s="105"/>
      <c r="F68" s="37" t="s">
        <v>165</v>
      </c>
      <c r="G68" s="25" t="s">
        <v>70</v>
      </c>
      <c r="H68" s="25">
        <v>1</v>
      </c>
      <c r="I68" s="26">
        <v>1100</v>
      </c>
    </row>
    <row r="69" spans="2:11" ht="26.4" x14ac:dyDescent="0.3">
      <c r="B69" s="22">
        <v>4</v>
      </c>
      <c r="C69" s="23" t="s">
        <v>112</v>
      </c>
      <c r="D69" s="104" t="s">
        <v>23</v>
      </c>
      <c r="E69" s="105"/>
      <c r="F69" s="37" t="s">
        <v>71</v>
      </c>
      <c r="G69" s="25" t="s">
        <v>70</v>
      </c>
      <c r="H69" s="25">
        <v>1</v>
      </c>
      <c r="I69" s="26">
        <v>35728</v>
      </c>
    </row>
    <row r="70" spans="2:11" ht="26.4" x14ac:dyDescent="0.3">
      <c r="B70" s="22">
        <v>5</v>
      </c>
      <c r="C70" s="23" t="s">
        <v>112</v>
      </c>
      <c r="D70" s="104" t="s">
        <v>23</v>
      </c>
      <c r="E70" s="105"/>
      <c r="F70" s="37" t="s">
        <v>166</v>
      </c>
      <c r="G70" s="25" t="s">
        <v>70</v>
      </c>
      <c r="H70" s="25">
        <v>1</v>
      </c>
      <c r="I70" s="26">
        <v>1000</v>
      </c>
    </row>
    <row r="71" spans="2:11" ht="26.4" x14ac:dyDescent="0.3">
      <c r="B71" s="22">
        <v>6</v>
      </c>
      <c r="C71" s="23" t="s">
        <v>112</v>
      </c>
      <c r="D71" s="104" t="s">
        <v>23</v>
      </c>
      <c r="E71" s="105"/>
      <c r="F71" s="37" t="s">
        <v>150</v>
      </c>
      <c r="G71" s="25" t="s">
        <v>70</v>
      </c>
      <c r="H71" s="25">
        <v>3</v>
      </c>
      <c r="I71" s="26">
        <v>3000</v>
      </c>
    </row>
    <row r="72" spans="2:11" ht="26.4" x14ac:dyDescent="0.3">
      <c r="B72" s="22">
        <v>7</v>
      </c>
      <c r="C72" s="23" t="s">
        <v>112</v>
      </c>
      <c r="D72" s="104" t="s">
        <v>23</v>
      </c>
      <c r="E72" s="105"/>
      <c r="F72" s="37" t="s">
        <v>167</v>
      </c>
      <c r="G72" s="25" t="s">
        <v>70</v>
      </c>
      <c r="H72" s="25">
        <v>1</v>
      </c>
      <c r="I72" s="26">
        <v>6800</v>
      </c>
    </row>
    <row r="73" spans="2:11" x14ac:dyDescent="0.3">
      <c r="B73" s="107" t="s">
        <v>113</v>
      </c>
      <c r="C73" s="108"/>
      <c r="D73" s="108"/>
      <c r="E73" s="108"/>
      <c r="F73" s="108"/>
      <c r="G73" s="108"/>
      <c r="H73" s="109"/>
      <c r="I73" s="38">
        <f>SUM(I66:I72)</f>
        <v>49444.085939999997</v>
      </c>
    </row>
    <row r="74" spans="2:11" x14ac:dyDescent="0.3">
      <c r="B74" s="110" t="s">
        <v>114</v>
      </c>
      <c r="C74" s="111"/>
      <c r="D74" s="111"/>
      <c r="E74" s="111"/>
      <c r="F74" s="111"/>
      <c r="G74" s="111"/>
      <c r="H74" s="111"/>
      <c r="I74" s="112"/>
    </row>
    <row r="75" spans="2:11" ht="52.8" x14ac:dyDescent="0.3">
      <c r="B75" s="22">
        <v>1</v>
      </c>
      <c r="C75" s="23" t="s">
        <v>115</v>
      </c>
      <c r="D75" s="104" t="s">
        <v>23</v>
      </c>
      <c r="E75" s="105"/>
      <c r="F75" s="24" t="s">
        <v>132</v>
      </c>
      <c r="G75" s="25" t="s">
        <v>72</v>
      </c>
      <c r="H75" s="25">
        <v>1</v>
      </c>
      <c r="I75" s="26">
        <f>(39831.59*1.9%)+(49205.75*1.6%)</f>
        <v>1544.0922099999998</v>
      </c>
    </row>
    <row r="76" spans="2:11" ht="52.5" customHeight="1" x14ac:dyDescent="0.3">
      <c r="B76" s="22">
        <v>2</v>
      </c>
      <c r="C76" s="23" t="s">
        <v>112</v>
      </c>
      <c r="D76" s="104" t="s">
        <v>23</v>
      </c>
      <c r="E76" s="105"/>
      <c r="F76" s="37" t="s">
        <v>79</v>
      </c>
      <c r="G76" s="25" t="s">
        <v>24</v>
      </c>
      <c r="H76" s="25">
        <v>1</v>
      </c>
      <c r="I76" s="26">
        <f>I67</f>
        <v>149.96</v>
      </c>
    </row>
    <row r="77" spans="2:11" ht="39.6" x14ac:dyDescent="0.3">
      <c r="B77" s="22">
        <v>3</v>
      </c>
      <c r="C77" s="23" t="s">
        <v>115</v>
      </c>
      <c r="D77" s="104" t="s">
        <v>23</v>
      </c>
      <c r="E77" s="105"/>
      <c r="F77" s="37" t="s">
        <v>168</v>
      </c>
      <c r="G77" s="25" t="s">
        <v>70</v>
      </c>
      <c r="H77" s="25">
        <v>1</v>
      </c>
      <c r="I77" s="26">
        <v>7500</v>
      </c>
    </row>
    <row r="78" spans="2:11" ht="26.4" x14ac:dyDescent="0.3">
      <c r="B78" s="22">
        <v>4</v>
      </c>
      <c r="C78" s="23" t="s">
        <v>115</v>
      </c>
      <c r="D78" s="104" t="s">
        <v>23</v>
      </c>
      <c r="E78" s="105"/>
      <c r="F78" s="37" t="s">
        <v>150</v>
      </c>
      <c r="G78" s="25" t="s">
        <v>70</v>
      </c>
      <c r="H78" s="25">
        <v>3</v>
      </c>
      <c r="I78" s="26">
        <v>3000</v>
      </c>
    </row>
    <row r="79" spans="2:11" ht="79.2" x14ac:dyDescent="0.3">
      <c r="B79" s="22">
        <v>5</v>
      </c>
      <c r="C79" s="23" t="s">
        <v>115</v>
      </c>
      <c r="D79" s="104" t="s">
        <v>23</v>
      </c>
      <c r="E79" s="105"/>
      <c r="F79" s="37" t="s">
        <v>185</v>
      </c>
      <c r="G79" s="25" t="s">
        <v>70</v>
      </c>
      <c r="H79" s="25">
        <v>1</v>
      </c>
      <c r="I79" s="26">
        <v>22791</v>
      </c>
      <c r="K79" s="45"/>
    </row>
    <row r="80" spans="2:11" ht="66" x14ac:dyDescent="0.3">
      <c r="B80" s="22">
        <v>6</v>
      </c>
      <c r="C80" s="23" t="s">
        <v>115</v>
      </c>
      <c r="D80" s="104" t="s">
        <v>23</v>
      </c>
      <c r="E80" s="105"/>
      <c r="F80" s="37" t="s">
        <v>184</v>
      </c>
      <c r="G80" s="25" t="s">
        <v>70</v>
      </c>
      <c r="H80" s="25">
        <v>1</v>
      </c>
      <c r="I80" s="26">
        <v>1109</v>
      </c>
      <c r="K80" s="46"/>
    </row>
    <row r="81" spans="2:9" ht="26.4" x14ac:dyDescent="0.3">
      <c r="B81" s="22">
        <v>7</v>
      </c>
      <c r="C81" s="23" t="s">
        <v>115</v>
      </c>
      <c r="D81" s="104" t="s">
        <v>23</v>
      </c>
      <c r="E81" s="105"/>
      <c r="F81" s="37" t="s">
        <v>169</v>
      </c>
      <c r="G81" s="25" t="s">
        <v>70</v>
      </c>
      <c r="H81" s="25">
        <v>1</v>
      </c>
      <c r="I81" s="26">
        <v>1450</v>
      </c>
    </row>
    <row r="82" spans="2:9" x14ac:dyDescent="0.3">
      <c r="B82" s="107" t="s">
        <v>116</v>
      </c>
      <c r="C82" s="108"/>
      <c r="D82" s="108"/>
      <c r="E82" s="108"/>
      <c r="F82" s="108"/>
      <c r="G82" s="108"/>
      <c r="H82" s="109"/>
      <c r="I82" s="38">
        <f>SUM(I75:I81)</f>
        <v>37544.052210000002</v>
      </c>
    </row>
    <row r="83" spans="2:9" x14ac:dyDescent="0.3">
      <c r="B83" s="110" t="s">
        <v>117</v>
      </c>
      <c r="C83" s="111"/>
      <c r="D83" s="111"/>
      <c r="E83" s="111"/>
      <c r="F83" s="111"/>
      <c r="G83" s="111"/>
      <c r="H83" s="111"/>
      <c r="I83" s="112"/>
    </row>
    <row r="84" spans="2:9" ht="52.8" x14ac:dyDescent="0.3">
      <c r="B84" s="22">
        <v>1</v>
      </c>
      <c r="C84" s="23" t="s">
        <v>118</v>
      </c>
      <c r="D84" s="104" t="s">
        <v>23</v>
      </c>
      <c r="E84" s="105"/>
      <c r="F84" s="24" t="s">
        <v>132</v>
      </c>
      <c r="G84" s="25" t="s">
        <v>72</v>
      </c>
      <c r="H84" s="25">
        <v>1</v>
      </c>
      <c r="I84" s="26">
        <f>(30833.99*1.9%)+(35556.07*1.6%)</f>
        <v>1154.7429299999999</v>
      </c>
    </row>
    <row r="85" spans="2:9" ht="52.5" customHeight="1" x14ac:dyDescent="0.3">
      <c r="B85" s="22">
        <v>1</v>
      </c>
      <c r="C85" s="23" t="s">
        <v>118</v>
      </c>
      <c r="D85" s="104" t="s">
        <v>23</v>
      </c>
      <c r="E85" s="105"/>
      <c r="F85" s="37" t="s">
        <v>79</v>
      </c>
      <c r="G85" s="25" t="s">
        <v>24</v>
      </c>
      <c r="H85" s="25">
        <v>1</v>
      </c>
      <c r="I85" s="26">
        <f>I76</f>
        <v>149.96</v>
      </c>
    </row>
    <row r="86" spans="2:9" ht="26.4" x14ac:dyDescent="0.3">
      <c r="B86" s="22">
        <v>1</v>
      </c>
      <c r="C86" s="23" t="s">
        <v>118</v>
      </c>
      <c r="D86" s="104" t="s">
        <v>23</v>
      </c>
      <c r="E86" s="105"/>
      <c r="F86" s="37" t="s">
        <v>150</v>
      </c>
      <c r="G86" s="25" t="s">
        <v>70</v>
      </c>
      <c r="H86" s="25">
        <v>3</v>
      </c>
      <c r="I86" s="26">
        <v>3000</v>
      </c>
    </row>
    <row r="87" spans="2:9" x14ac:dyDescent="0.3">
      <c r="B87" s="107" t="s">
        <v>119</v>
      </c>
      <c r="C87" s="108"/>
      <c r="D87" s="108"/>
      <c r="E87" s="108"/>
      <c r="F87" s="108"/>
      <c r="G87" s="108"/>
      <c r="H87" s="109"/>
      <c r="I87" s="38">
        <f>SUM(I84:I86)</f>
        <v>4304.7029299999995</v>
      </c>
    </row>
    <row r="88" spans="2:9" x14ac:dyDescent="0.3">
      <c r="B88" s="110" t="s">
        <v>120</v>
      </c>
      <c r="C88" s="111"/>
      <c r="D88" s="111"/>
      <c r="E88" s="111"/>
      <c r="F88" s="111"/>
      <c r="G88" s="111"/>
      <c r="H88" s="111"/>
      <c r="I88" s="112"/>
    </row>
    <row r="89" spans="2:9" ht="52.8" x14ac:dyDescent="0.3">
      <c r="B89" s="22">
        <v>1</v>
      </c>
      <c r="C89" s="23" t="s">
        <v>121</v>
      </c>
      <c r="D89" s="104" t="s">
        <v>23</v>
      </c>
      <c r="E89" s="105"/>
      <c r="F89" s="24" t="s">
        <v>132</v>
      </c>
      <c r="G89" s="25" t="s">
        <v>72</v>
      </c>
      <c r="H89" s="25">
        <v>1</v>
      </c>
      <c r="I89" s="26">
        <f>(54003.26*1.9%)+(27230.85*1.6%)</f>
        <v>1461.7555400000001</v>
      </c>
    </row>
    <row r="90" spans="2:9" ht="26.4" x14ac:dyDescent="0.3">
      <c r="B90" s="22">
        <v>2</v>
      </c>
      <c r="C90" s="23" t="s">
        <v>121</v>
      </c>
      <c r="D90" s="104" t="s">
        <v>23</v>
      </c>
      <c r="E90" s="105"/>
      <c r="F90" s="37" t="s">
        <v>150</v>
      </c>
      <c r="G90" s="25" t="s">
        <v>70</v>
      </c>
      <c r="H90" s="25">
        <v>3</v>
      </c>
      <c r="I90" s="26">
        <v>3000</v>
      </c>
    </row>
    <row r="91" spans="2:9" ht="26.4" x14ac:dyDescent="0.3">
      <c r="B91" s="22">
        <v>3</v>
      </c>
      <c r="C91" s="23" t="s">
        <v>121</v>
      </c>
      <c r="D91" s="104" t="s">
        <v>23</v>
      </c>
      <c r="E91" s="105"/>
      <c r="F91" s="37" t="s">
        <v>176</v>
      </c>
      <c r="G91" s="25" t="s">
        <v>70</v>
      </c>
      <c r="H91" s="25">
        <v>1</v>
      </c>
      <c r="I91" s="26">
        <v>13100</v>
      </c>
    </row>
    <row r="92" spans="2:9" ht="26.4" x14ac:dyDescent="0.3">
      <c r="B92" s="22">
        <v>4</v>
      </c>
      <c r="C92" s="23" t="s">
        <v>121</v>
      </c>
      <c r="D92" s="104" t="s">
        <v>23</v>
      </c>
      <c r="E92" s="105"/>
      <c r="F92" s="37" t="s">
        <v>177</v>
      </c>
      <c r="G92" s="25" t="s">
        <v>70</v>
      </c>
      <c r="H92" s="25">
        <v>1</v>
      </c>
      <c r="I92" s="26">
        <v>5746</v>
      </c>
    </row>
    <row r="93" spans="2:9" ht="26.4" x14ac:dyDescent="0.3">
      <c r="B93" s="22">
        <v>5</v>
      </c>
      <c r="C93" s="23" t="s">
        <v>121</v>
      </c>
      <c r="D93" s="104" t="s">
        <v>23</v>
      </c>
      <c r="E93" s="105"/>
      <c r="F93" s="37" t="s">
        <v>178</v>
      </c>
      <c r="G93" s="25" t="s">
        <v>70</v>
      </c>
      <c r="H93" s="25">
        <v>1</v>
      </c>
      <c r="I93" s="26">
        <v>2651</v>
      </c>
    </row>
    <row r="94" spans="2:9" ht="52.8" x14ac:dyDescent="0.3">
      <c r="B94" s="22">
        <v>6</v>
      </c>
      <c r="C94" s="23" t="s">
        <v>121</v>
      </c>
      <c r="D94" s="104" t="s">
        <v>23</v>
      </c>
      <c r="E94" s="105"/>
      <c r="F94" s="37" t="s">
        <v>79</v>
      </c>
      <c r="G94" s="25" t="s">
        <v>24</v>
      </c>
      <c r="H94" s="25">
        <v>1</v>
      </c>
      <c r="I94" s="26">
        <f>I85</f>
        <v>149.96</v>
      </c>
    </row>
    <row r="95" spans="2:9" x14ac:dyDescent="0.3">
      <c r="B95" s="107" t="s">
        <v>122</v>
      </c>
      <c r="C95" s="108"/>
      <c r="D95" s="108"/>
      <c r="E95" s="108"/>
      <c r="F95" s="108"/>
      <c r="G95" s="108"/>
      <c r="H95" s="109"/>
      <c r="I95" s="38">
        <f>SUM(I89:I94)</f>
        <v>26108.715539999997</v>
      </c>
    </row>
    <row r="96" spans="2:9" x14ac:dyDescent="0.3">
      <c r="B96" s="110" t="s">
        <v>123</v>
      </c>
      <c r="C96" s="111"/>
      <c r="D96" s="111"/>
      <c r="E96" s="111"/>
      <c r="F96" s="111"/>
      <c r="G96" s="111"/>
      <c r="H96" s="111"/>
      <c r="I96" s="112"/>
    </row>
    <row r="97" spans="2:9" ht="52.8" x14ac:dyDescent="0.3">
      <c r="B97" s="22">
        <v>1</v>
      </c>
      <c r="C97" s="39" t="s">
        <v>124</v>
      </c>
      <c r="D97" s="104" t="s">
        <v>23</v>
      </c>
      <c r="E97" s="105"/>
      <c r="F97" s="24" t="s">
        <v>132</v>
      </c>
      <c r="G97" s="25" t="s">
        <v>72</v>
      </c>
      <c r="H97" s="25">
        <v>1</v>
      </c>
      <c r="I97" s="26">
        <f>(39831.59*1.9%)+(61065.65*1.6%)</f>
        <v>1733.85061</v>
      </c>
    </row>
    <row r="98" spans="2:9" ht="52.8" x14ac:dyDescent="0.3">
      <c r="B98" s="22">
        <v>2</v>
      </c>
      <c r="C98" s="39" t="s">
        <v>124</v>
      </c>
      <c r="D98" s="104" t="s">
        <v>23</v>
      </c>
      <c r="E98" s="105"/>
      <c r="F98" s="37" t="s">
        <v>79</v>
      </c>
      <c r="G98" s="25" t="s">
        <v>24</v>
      </c>
      <c r="H98" s="25">
        <v>1</v>
      </c>
      <c r="I98" s="26">
        <f>I94</f>
        <v>149.96</v>
      </c>
    </row>
    <row r="99" spans="2:9" ht="26.4" x14ac:dyDescent="0.3">
      <c r="B99" s="22">
        <v>3</v>
      </c>
      <c r="C99" s="39" t="s">
        <v>124</v>
      </c>
      <c r="D99" s="104" t="s">
        <v>23</v>
      </c>
      <c r="E99" s="105"/>
      <c r="F99" s="37" t="s">
        <v>137</v>
      </c>
      <c r="G99" s="25" t="s">
        <v>70</v>
      </c>
      <c r="H99" s="25">
        <v>1</v>
      </c>
      <c r="I99" s="26">
        <v>10510</v>
      </c>
    </row>
    <row r="100" spans="2:9" x14ac:dyDescent="0.3">
      <c r="B100" s="22">
        <v>4</v>
      </c>
      <c r="C100" s="39" t="s">
        <v>124</v>
      </c>
      <c r="D100" s="104" t="s">
        <v>23</v>
      </c>
      <c r="E100" s="105"/>
      <c r="F100" s="37" t="s">
        <v>171</v>
      </c>
      <c r="G100" s="25" t="s">
        <v>70</v>
      </c>
      <c r="H100" s="25">
        <v>1</v>
      </c>
      <c r="I100" s="26">
        <v>4230</v>
      </c>
    </row>
    <row r="101" spans="2:9" ht="26.4" x14ac:dyDescent="0.3">
      <c r="B101" s="22">
        <v>5</v>
      </c>
      <c r="C101" s="39" t="s">
        <v>124</v>
      </c>
      <c r="D101" s="104" t="s">
        <v>23</v>
      </c>
      <c r="E101" s="105"/>
      <c r="F101" s="37" t="s">
        <v>150</v>
      </c>
      <c r="G101" s="25" t="s">
        <v>70</v>
      </c>
      <c r="H101" s="25">
        <v>8</v>
      </c>
      <c r="I101" s="26">
        <v>8000</v>
      </c>
    </row>
    <row r="102" spans="2:9" ht="26.4" x14ac:dyDescent="0.3">
      <c r="B102" s="22">
        <v>6</v>
      </c>
      <c r="C102" s="39" t="s">
        <v>124</v>
      </c>
      <c r="D102" s="104" t="s">
        <v>23</v>
      </c>
      <c r="E102" s="105"/>
      <c r="F102" s="37" t="s">
        <v>179</v>
      </c>
      <c r="G102" s="25" t="s">
        <v>70</v>
      </c>
      <c r="H102" s="25">
        <v>1</v>
      </c>
      <c r="I102" s="26">
        <v>1464</v>
      </c>
    </row>
    <row r="103" spans="2:9" ht="26.4" x14ac:dyDescent="0.3">
      <c r="B103" s="22">
        <v>7</v>
      </c>
      <c r="C103" s="39" t="s">
        <v>124</v>
      </c>
      <c r="D103" s="104" t="s">
        <v>23</v>
      </c>
      <c r="E103" s="105"/>
      <c r="F103" s="37" t="s">
        <v>172</v>
      </c>
      <c r="G103" s="25" t="s">
        <v>70</v>
      </c>
      <c r="H103" s="25">
        <v>1</v>
      </c>
      <c r="I103" s="26">
        <v>3000</v>
      </c>
    </row>
    <row r="104" spans="2:9" x14ac:dyDescent="0.3">
      <c r="B104" s="107" t="s">
        <v>125</v>
      </c>
      <c r="C104" s="108"/>
      <c r="D104" s="108"/>
      <c r="E104" s="108"/>
      <c r="F104" s="108"/>
      <c r="G104" s="108"/>
      <c r="H104" s="109"/>
      <c r="I104" s="38">
        <f>SUM(I97:I103)</f>
        <v>29087.81061</v>
      </c>
    </row>
    <row r="105" spans="2:9" x14ac:dyDescent="0.3">
      <c r="B105" s="110" t="s">
        <v>126</v>
      </c>
      <c r="C105" s="111"/>
      <c r="D105" s="111"/>
      <c r="E105" s="111"/>
      <c r="F105" s="111"/>
      <c r="G105" s="111"/>
      <c r="H105" s="111"/>
      <c r="I105" s="112"/>
    </row>
    <row r="106" spans="2:9" ht="26.4" x14ac:dyDescent="0.3">
      <c r="B106" s="22">
        <v>1</v>
      </c>
      <c r="C106" s="23" t="s">
        <v>127</v>
      </c>
      <c r="D106" s="104" t="s">
        <v>23</v>
      </c>
      <c r="E106" s="105"/>
      <c r="F106" s="37" t="s">
        <v>25</v>
      </c>
      <c r="G106" s="25" t="s">
        <v>72</v>
      </c>
      <c r="H106" s="25">
        <v>1</v>
      </c>
      <c r="I106" s="26">
        <f>(41034.82*1.9%)+(32218.24*1.6%)</f>
        <v>1295.1534200000001</v>
      </c>
    </row>
    <row r="107" spans="2:9" ht="52.8" x14ac:dyDescent="0.3">
      <c r="B107" s="22">
        <v>2</v>
      </c>
      <c r="C107" s="23" t="s">
        <v>127</v>
      </c>
      <c r="D107" s="104" t="s">
        <v>23</v>
      </c>
      <c r="E107" s="105"/>
      <c r="F107" s="37" t="s">
        <v>79</v>
      </c>
      <c r="G107" s="25" t="s">
        <v>72</v>
      </c>
      <c r="H107" s="25">
        <v>1</v>
      </c>
      <c r="I107" s="26">
        <f>I94</f>
        <v>149.96</v>
      </c>
    </row>
    <row r="108" spans="2:9" ht="26.4" x14ac:dyDescent="0.3">
      <c r="B108" s="22">
        <v>3</v>
      </c>
      <c r="C108" s="23" t="s">
        <v>127</v>
      </c>
      <c r="D108" s="104" t="s">
        <v>23</v>
      </c>
      <c r="E108" s="105"/>
      <c r="F108" s="37" t="s">
        <v>173</v>
      </c>
      <c r="G108" s="25" t="s">
        <v>70</v>
      </c>
      <c r="H108" s="25">
        <v>1</v>
      </c>
      <c r="I108" s="26">
        <v>350</v>
      </c>
    </row>
    <row r="109" spans="2:9" ht="25.5" customHeight="1" x14ac:dyDescent="0.3">
      <c r="B109" s="22">
        <v>4</v>
      </c>
      <c r="C109" s="23" t="s">
        <v>127</v>
      </c>
      <c r="D109" s="104" t="s">
        <v>23</v>
      </c>
      <c r="E109" s="105"/>
      <c r="F109" s="37" t="s">
        <v>174</v>
      </c>
      <c r="G109" s="25" t="s">
        <v>70</v>
      </c>
      <c r="H109" s="25">
        <v>1</v>
      </c>
      <c r="I109" s="26">
        <v>15753</v>
      </c>
    </row>
    <row r="110" spans="2:9" x14ac:dyDescent="0.3">
      <c r="B110" s="22">
        <v>5</v>
      </c>
      <c r="C110" s="23" t="s">
        <v>127</v>
      </c>
      <c r="D110" s="104" t="s">
        <v>23</v>
      </c>
      <c r="E110" s="105"/>
      <c r="F110" s="37" t="s">
        <v>175</v>
      </c>
      <c r="G110" s="25" t="s">
        <v>70</v>
      </c>
      <c r="H110" s="25">
        <v>1</v>
      </c>
      <c r="I110" s="26">
        <v>12363</v>
      </c>
    </row>
    <row r="111" spans="2:9" x14ac:dyDescent="0.3">
      <c r="B111" s="107" t="s">
        <v>128</v>
      </c>
      <c r="C111" s="108"/>
      <c r="D111" s="108"/>
      <c r="E111" s="108"/>
      <c r="F111" s="108"/>
      <c r="G111" s="108"/>
      <c r="H111" s="109"/>
      <c r="I111" s="38">
        <f>SUM(I106:I110)</f>
        <v>29911.113420000001</v>
      </c>
    </row>
    <row r="112" spans="2:9" x14ac:dyDescent="0.3">
      <c r="B112" s="110" t="s">
        <v>186</v>
      </c>
      <c r="C112" s="111"/>
      <c r="D112" s="111"/>
      <c r="E112" s="111"/>
      <c r="F112" s="111"/>
      <c r="G112" s="111"/>
      <c r="H112" s="111"/>
      <c r="I112" s="112"/>
    </row>
    <row r="113" spans="2:16" ht="26.4" x14ac:dyDescent="0.3">
      <c r="B113" s="22">
        <v>1</v>
      </c>
      <c r="C113" s="23" t="s">
        <v>129</v>
      </c>
      <c r="D113" s="104" t="s">
        <v>23</v>
      </c>
      <c r="E113" s="105"/>
      <c r="F113" s="37" t="s">
        <v>25</v>
      </c>
      <c r="G113" s="25" t="s">
        <v>72</v>
      </c>
      <c r="H113" s="25">
        <v>1</v>
      </c>
      <c r="I113" s="26">
        <f>(54341.16*1.9%)+(44036.37*1.6%)</f>
        <v>1737.0639600000002</v>
      </c>
    </row>
    <row r="114" spans="2:16" ht="52.8" x14ac:dyDescent="0.3">
      <c r="B114" s="22">
        <v>2</v>
      </c>
      <c r="C114" s="23" t="s">
        <v>129</v>
      </c>
      <c r="D114" s="104" t="s">
        <v>23</v>
      </c>
      <c r="E114" s="105"/>
      <c r="F114" s="37" t="s">
        <v>79</v>
      </c>
      <c r="G114" s="25" t="s">
        <v>72</v>
      </c>
      <c r="H114" s="25">
        <v>1</v>
      </c>
      <c r="I114" s="26">
        <f>I107</f>
        <v>149.96</v>
      </c>
      <c r="P114" s="44"/>
    </row>
    <row r="115" spans="2:16" ht="26.4" x14ac:dyDescent="0.3">
      <c r="B115" s="22">
        <v>3</v>
      </c>
      <c r="C115" s="23" t="s">
        <v>129</v>
      </c>
      <c r="D115" s="104" t="s">
        <v>23</v>
      </c>
      <c r="E115" s="105"/>
      <c r="F115" s="37" t="s">
        <v>173</v>
      </c>
      <c r="G115" s="25" t="s">
        <v>70</v>
      </c>
      <c r="H115" s="25">
        <v>1</v>
      </c>
      <c r="I115" s="26">
        <v>350</v>
      </c>
    </row>
    <row r="116" spans="2:16" ht="26.4" x14ac:dyDescent="0.3">
      <c r="B116" s="22">
        <v>4</v>
      </c>
      <c r="C116" s="23" t="s">
        <v>129</v>
      </c>
      <c r="D116" s="104" t="s">
        <v>23</v>
      </c>
      <c r="E116" s="105"/>
      <c r="F116" s="37" t="s">
        <v>180</v>
      </c>
      <c r="G116" s="25" t="s">
        <v>70</v>
      </c>
      <c r="H116" s="25">
        <v>1</v>
      </c>
      <c r="I116" s="26">
        <v>2104</v>
      </c>
    </row>
    <row r="117" spans="2:16" ht="39.6" x14ac:dyDescent="0.3">
      <c r="B117" s="22">
        <v>5</v>
      </c>
      <c r="C117" s="23" t="s">
        <v>129</v>
      </c>
      <c r="D117" s="104" t="s">
        <v>23</v>
      </c>
      <c r="E117" s="105"/>
      <c r="F117" s="37" t="s">
        <v>181</v>
      </c>
      <c r="G117" s="25" t="s">
        <v>70</v>
      </c>
      <c r="H117" s="25">
        <v>1</v>
      </c>
      <c r="I117" s="26">
        <v>4462</v>
      </c>
    </row>
    <row r="118" spans="2:16" x14ac:dyDescent="0.3">
      <c r="B118" s="22">
        <v>6</v>
      </c>
      <c r="C118" s="23" t="s">
        <v>129</v>
      </c>
      <c r="D118" s="104" t="s">
        <v>23</v>
      </c>
      <c r="E118" s="105"/>
      <c r="F118" s="37" t="s">
        <v>80</v>
      </c>
      <c r="G118" s="25" t="s">
        <v>70</v>
      </c>
      <c r="H118" s="25">
        <v>1</v>
      </c>
      <c r="I118" s="26">
        <v>16500</v>
      </c>
    </row>
    <row r="119" spans="2:16" x14ac:dyDescent="0.3">
      <c r="B119" s="107" t="s">
        <v>130</v>
      </c>
      <c r="C119" s="108"/>
      <c r="D119" s="108"/>
      <c r="E119" s="108"/>
      <c r="F119" s="108"/>
      <c r="G119" s="108"/>
      <c r="H119" s="109"/>
      <c r="I119" s="38">
        <f>SUM(I113:I118)</f>
        <v>25303.023959999999</v>
      </c>
    </row>
    <row r="120" spans="2:16" ht="14.4" x14ac:dyDescent="0.3">
      <c r="B120" s="106" t="s">
        <v>131</v>
      </c>
      <c r="C120" s="106"/>
      <c r="D120" s="106"/>
      <c r="E120" s="106"/>
      <c r="F120" s="106"/>
      <c r="G120" s="106"/>
      <c r="H120" s="106"/>
      <c r="I120" s="42">
        <f>I19+I30+I39+I53+I64+I73+I82+I87+I95+I104+I111+I119</f>
        <v>350484.63514999999</v>
      </c>
    </row>
  </sheetData>
  <mergeCells count="118">
    <mergeCell ref="D41:E41"/>
    <mergeCell ref="D43:E43"/>
    <mergeCell ref="D99:E99"/>
    <mergeCell ref="D100:E100"/>
    <mergeCell ref="D103:E103"/>
    <mergeCell ref="D101:E101"/>
    <mergeCell ref="D102:E102"/>
    <mergeCell ref="D114:E114"/>
    <mergeCell ref="D61:E61"/>
    <mergeCell ref="D63:E63"/>
    <mergeCell ref="B88:I88"/>
    <mergeCell ref="B104:H104"/>
    <mergeCell ref="D97:E97"/>
    <mergeCell ref="B96:I96"/>
    <mergeCell ref="B112:I112"/>
    <mergeCell ref="D71:E71"/>
    <mergeCell ref="D80:E80"/>
    <mergeCell ref="B54:I54"/>
    <mergeCell ref="D42:E42"/>
    <mergeCell ref="D56:E56"/>
    <mergeCell ref="B53:H53"/>
    <mergeCell ref="D44:E44"/>
    <mergeCell ref="D45:E45"/>
    <mergeCell ref="D46:E46"/>
    <mergeCell ref="D109:E109"/>
    <mergeCell ref="D110:E110"/>
    <mergeCell ref="B111:H111"/>
    <mergeCell ref="D62:E62"/>
    <mergeCell ref="D98:E98"/>
    <mergeCell ref="D84:E84"/>
    <mergeCell ref="B87:H87"/>
    <mergeCell ref="B83:I83"/>
    <mergeCell ref="D89:E89"/>
    <mergeCell ref="D85:E85"/>
    <mergeCell ref="B73:H73"/>
    <mergeCell ref="D75:E75"/>
    <mergeCell ref="D70:E70"/>
    <mergeCell ref="D72:E72"/>
    <mergeCell ref="D67:E67"/>
    <mergeCell ref="D92:E92"/>
    <mergeCell ref="D93:E93"/>
    <mergeCell ref="B105:I105"/>
    <mergeCell ref="D106:E106"/>
    <mergeCell ref="D107:E107"/>
    <mergeCell ref="D108:E108"/>
    <mergeCell ref="D94:E94"/>
    <mergeCell ref="B95:H95"/>
    <mergeCell ref="D26:E26"/>
    <mergeCell ref="B30:H30"/>
    <mergeCell ref="B31:I31"/>
    <mergeCell ref="D24:E24"/>
    <mergeCell ref="D29:E29"/>
    <mergeCell ref="B40:I40"/>
    <mergeCell ref="D34:E34"/>
    <mergeCell ref="D35:E35"/>
    <mergeCell ref="D36:E36"/>
    <mergeCell ref="D37:E37"/>
    <mergeCell ref="D38:E38"/>
    <mergeCell ref="B39:H39"/>
    <mergeCell ref="D32:E32"/>
    <mergeCell ref="D33:E33"/>
    <mergeCell ref="D23:E23"/>
    <mergeCell ref="D27:E27"/>
    <mergeCell ref="D28:E28"/>
    <mergeCell ref="D22:E22"/>
    <mergeCell ref="H8:H9"/>
    <mergeCell ref="I8:I9"/>
    <mergeCell ref="B20:I20"/>
    <mergeCell ref="D8:E9"/>
    <mergeCell ref="B8:B9"/>
    <mergeCell ref="C8:C9"/>
    <mergeCell ref="F8:F9"/>
    <mergeCell ref="G8:G9"/>
    <mergeCell ref="D25:E25"/>
    <mergeCell ref="D21:E21"/>
    <mergeCell ref="B10:I10"/>
    <mergeCell ref="D13:E13"/>
    <mergeCell ref="D14:E14"/>
    <mergeCell ref="D15:E15"/>
    <mergeCell ref="D16:E16"/>
    <mergeCell ref="D17:E17"/>
    <mergeCell ref="D11:E11"/>
    <mergeCell ref="B19:H19"/>
    <mergeCell ref="D18:E18"/>
    <mergeCell ref="D12:E12"/>
    <mergeCell ref="B120:H120"/>
    <mergeCell ref="D115:E115"/>
    <mergeCell ref="D116:E116"/>
    <mergeCell ref="D117:E117"/>
    <mergeCell ref="D118:E118"/>
    <mergeCell ref="B119:H119"/>
    <mergeCell ref="D55:E55"/>
    <mergeCell ref="B64:H64"/>
    <mergeCell ref="B65:I65"/>
    <mergeCell ref="D68:E68"/>
    <mergeCell ref="D59:E59"/>
    <mergeCell ref="D60:E60"/>
    <mergeCell ref="D66:E66"/>
    <mergeCell ref="D76:E76"/>
    <mergeCell ref="B82:H82"/>
    <mergeCell ref="B74:I74"/>
    <mergeCell ref="D77:E77"/>
    <mergeCell ref="D58:E58"/>
    <mergeCell ref="D57:E57"/>
    <mergeCell ref="D113:E113"/>
    <mergeCell ref="D86:E86"/>
    <mergeCell ref="D90:E90"/>
    <mergeCell ref="D91:E91"/>
    <mergeCell ref="D81:E81"/>
    <mergeCell ref="D47:E47"/>
    <mergeCell ref="D48:E48"/>
    <mergeCell ref="D49:E49"/>
    <mergeCell ref="D50:E50"/>
    <mergeCell ref="D52:E52"/>
    <mergeCell ref="D51:E51"/>
    <mergeCell ref="D69:E69"/>
    <mergeCell ref="D78:E78"/>
    <mergeCell ref="D79:E79"/>
  </mergeCells>
  <pageMargins left="0.31496062992125984" right="0.31496062992125984" top="0.35433070866141736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51"/>
  <sheetViews>
    <sheetView showRuler="0" zoomScaleNormal="100" workbookViewId="0">
      <selection activeCell="A36" sqref="A36:M44"/>
    </sheetView>
  </sheetViews>
  <sheetFormatPr defaultRowHeight="14.4" x14ac:dyDescent="0.3"/>
  <cols>
    <col min="2" max="2" width="9.109375" customWidth="1"/>
    <col min="4" max="4" width="7.44140625" customWidth="1"/>
    <col min="6" max="6" width="9.109375" customWidth="1"/>
    <col min="8" max="8" width="8.33203125" customWidth="1"/>
    <col min="9" max="9" width="4.88671875" customWidth="1"/>
    <col min="10" max="10" width="7.6640625" customWidth="1"/>
    <col min="11" max="11" width="5.33203125" customWidth="1"/>
    <col min="12" max="12" width="1.6640625" customWidth="1"/>
    <col min="13" max="13" width="23.33203125" customWidth="1"/>
  </cols>
  <sheetData>
    <row r="1" spans="1:13" x14ac:dyDescent="0.3">
      <c r="A1" s="163" t="s">
        <v>187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x14ac:dyDescent="0.3">
      <c r="A2" s="163" t="s">
        <v>82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x14ac:dyDescent="0.3">
      <c r="A3" s="164" t="s">
        <v>88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x14ac:dyDescent="0.3">
      <c r="A4" s="49" t="s">
        <v>183</v>
      </c>
      <c r="B4" s="50"/>
      <c r="C4" s="50"/>
      <c r="D4" s="51"/>
      <c r="E4" s="49" t="s">
        <v>83</v>
      </c>
      <c r="F4" s="50"/>
      <c r="G4" s="50"/>
      <c r="H4" s="50"/>
      <c r="I4" s="51"/>
      <c r="J4" s="49" t="s">
        <v>84</v>
      </c>
      <c r="K4" s="50"/>
      <c r="L4" s="50"/>
      <c r="M4" s="51"/>
    </row>
    <row r="5" spans="1:13" x14ac:dyDescent="0.3">
      <c r="A5" s="49" t="s">
        <v>0</v>
      </c>
      <c r="B5" s="51"/>
      <c r="C5" s="49" t="s">
        <v>85</v>
      </c>
      <c r="D5" s="50"/>
      <c r="E5" s="50"/>
      <c r="F5" s="50"/>
      <c r="G5" s="50"/>
      <c r="H5" s="51"/>
      <c r="I5" s="49" t="s">
        <v>50</v>
      </c>
      <c r="J5" s="50"/>
      <c r="K5" s="50"/>
      <c r="L5" s="50"/>
      <c r="M5" s="51"/>
    </row>
    <row r="6" spans="1:13" x14ac:dyDescent="0.3">
      <c r="A6" s="72" t="s">
        <v>86</v>
      </c>
      <c r="B6" s="72"/>
      <c r="C6" s="72"/>
      <c r="D6" s="72"/>
      <c r="E6" s="72"/>
      <c r="F6" s="72"/>
      <c r="G6" s="72"/>
      <c r="H6" s="72" t="s">
        <v>63</v>
      </c>
      <c r="I6" s="72"/>
      <c r="J6" s="72"/>
      <c r="K6" s="72"/>
      <c r="L6" s="72"/>
      <c r="M6" s="72"/>
    </row>
    <row r="7" spans="1:13" x14ac:dyDescent="0.3">
      <c r="A7" s="50" t="s">
        <v>64</v>
      </c>
      <c r="B7" s="50"/>
      <c r="C7" s="50"/>
      <c r="D7" s="50"/>
      <c r="E7" s="50"/>
      <c r="F7" s="50"/>
      <c r="G7" s="122"/>
      <c r="H7" s="122"/>
      <c r="I7" s="122"/>
      <c r="J7" s="122"/>
      <c r="K7" s="122"/>
      <c r="L7" s="122"/>
      <c r="M7" s="122"/>
    </row>
    <row r="8" spans="1:13" ht="38.25" customHeight="1" x14ac:dyDescent="0.3">
      <c r="A8" s="168" t="s">
        <v>26</v>
      </c>
      <c r="B8" s="168"/>
      <c r="C8" s="168"/>
      <c r="D8" s="168"/>
      <c r="E8" s="169" t="s">
        <v>27</v>
      </c>
      <c r="F8" s="169"/>
      <c r="G8" s="165" t="s">
        <v>28</v>
      </c>
      <c r="H8" s="166"/>
      <c r="I8" s="167"/>
      <c r="J8" s="165" t="s">
        <v>29</v>
      </c>
      <c r="K8" s="166"/>
      <c r="L8" s="167"/>
      <c r="M8" s="33" t="s">
        <v>30</v>
      </c>
    </row>
    <row r="9" spans="1:13" x14ac:dyDescent="0.3">
      <c r="A9" s="160" t="s">
        <v>31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2"/>
    </row>
    <row r="10" spans="1:13" x14ac:dyDescent="0.3">
      <c r="A10" s="175" t="s">
        <v>32</v>
      </c>
      <c r="B10" s="176"/>
      <c r="C10" s="176"/>
      <c r="D10" s="177"/>
      <c r="E10" s="148">
        <v>38537.99</v>
      </c>
      <c r="F10" s="149"/>
      <c r="G10" s="148">
        <v>373580.04</v>
      </c>
      <c r="H10" s="150"/>
      <c r="I10" s="149"/>
      <c r="J10" s="151">
        <v>354133.69</v>
      </c>
      <c r="K10" s="152"/>
      <c r="L10" s="153"/>
      <c r="M10" s="40">
        <v>58210.48</v>
      </c>
    </row>
    <row r="11" spans="1:13" ht="21" customHeight="1" x14ac:dyDescent="0.3">
      <c r="A11" s="49" t="s">
        <v>33</v>
      </c>
      <c r="B11" s="50"/>
      <c r="C11" s="50"/>
      <c r="D11" s="51"/>
      <c r="E11" s="134">
        <f>SUM(E10:E10)</f>
        <v>38537.99</v>
      </c>
      <c r="F11" s="135"/>
      <c r="G11" s="134">
        <f>SUM(G10:G10)</f>
        <v>373580.04</v>
      </c>
      <c r="H11" s="136"/>
      <c r="I11" s="135"/>
      <c r="J11" s="49">
        <f>SUM(J10:J10)</f>
        <v>354133.69</v>
      </c>
      <c r="K11" s="50"/>
      <c r="L11" s="51"/>
      <c r="M11" s="7">
        <f>SUM(M10:M10)</f>
        <v>58210.48</v>
      </c>
    </row>
    <row r="12" spans="1:13" ht="21" customHeight="1" x14ac:dyDescent="0.3">
      <c r="A12" s="49" t="s">
        <v>65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7">
        <v>1289.3</v>
      </c>
    </row>
    <row r="13" spans="1:13" ht="21" customHeight="1" x14ac:dyDescent="0.3">
      <c r="A13" s="49" t="s">
        <v>66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1"/>
      <c r="M13" s="7">
        <v>2578.6</v>
      </c>
    </row>
    <row r="14" spans="1:13" ht="21" customHeight="1" x14ac:dyDescent="0.3">
      <c r="A14" s="49" t="s">
        <v>62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1"/>
      <c r="M14" s="7">
        <v>1009.39</v>
      </c>
    </row>
    <row r="15" spans="1:13" x14ac:dyDescent="0.3">
      <c r="A15" s="72" t="s">
        <v>12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43">
        <v>13066.46</v>
      </c>
    </row>
    <row r="16" spans="1:13" x14ac:dyDescent="0.3">
      <c r="A16" s="160" t="s">
        <v>34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2"/>
    </row>
    <row r="17" spans="1:13" ht="26.25" customHeight="1" x14ac:dyDescent="0.3">
      <c r="A17" s="145" t="s">
        <v>58</v>
      </c>
      <c r="B17" s="146"/>
      <c r="C17" s="146"/>
      <c r="D17" s="147"/>
      <c r="E17" s="148">
        <v>207.18</v>
      </c>
      <c r="F17" s="149"/>
      <c r="G17" s="148">
        <v>2165.62</v>
      </c>
      <c r="H17" s="150"/>
      <c r="I17" s="149"/>
      <c r="J17" s="151">
        <v>2053.42</v>
      </c>
      <c r="K17" s="152"/>
      <c r="L17" s="153"/>
      <c r="M17" s="34">
        <v>320.52999999999997</v>
      </c>
    </row>
    <row r="18" spans="1:13" ht="34.5" customHeight="1" x14ac:dyDescent="0.3">
      <c r="A18" s="154" t="s">
        <v>59</v>
      </c>
      <c r="B18" s="155"/>
      <c r="C18" s="155"/>
      <c r="D18" s="156"/>
      <c r="E18" s="123">
        <v>207.08</v>
      </c>
      <c r="F18" s="123"/>
      <c r="G18" s="123">
        <v>2165.52</v>
      </c>
      <c r="H18" s="123"/>
      <c r="I18" s="123"/>
      <c r="J18" s="72">
        <v>2053.3200000000002</v>
      </c>
      <c r="K18" s="72"/>
      <c r="L18" s="72"/>
      <c r="M18" s="7">
        <v>320.52999999999997</v>
      </c>
    </row>
    <row r="19" spans="1:13" ht="14.25" customHeight="1" x14ac:dyDescent="0.3">
      <c r="A19" s="49" t="s">
        <v>60</v>
      </c>
      <c r="B19" s="50"/>
      <c r="C19" s="50"/>
      <c r="D19" s="51"/>
      <c r="E19" s="134">
        <v>464.94</v>
      </c>
      <c r="F19" s="135"/>
      <c r="G19" s="134">
        <v>4866.12</v>
      </c>
      <c r="H19" s="136"/>
      <c r="I19" s="135"/>
      <c r="J19" s="49">
        <v>4614.29</v>
      </c>
      <c r="K19" s="50"/>
      <c r="L19" s="51"/>
      <c r="M19" s="7">
        <v>719.59</v>
      </c>
    </row>
    <row r="20" spans="1:13" ht="14.25" customHeight="1" x14ac:dyDescent="0.3">
      <c r="A20" s="49" t="s">
        <v>61</v>
      </c>
      <c r="B20" s="50"/>
      <c r="C20" s="50"/>
      <c r="D20" s="51"/>
      <c r="E20" s="134">
        <v>464.68</v>
      </c>
      <c r="F20" s="135"/>
      <c r="G20" s="134">
        <v>6407.25</v>
      </c>
      <c r="H20" s="136"/>
      <c r="I20" s="135"/>
      <c r="J20" s="134">
        <v>5766.8</v>
      </c>
      <c r="K20" s="136"/>
      <c r="L20" s="135"/>
      <c r="M20" s="7">
        <v>1107.95</v>
      </c>
    </row>
    <row r="21" spans="1:13" x14ac:dyDescent="0.3">
      <c r="A21" s="49" t="s">
        <v>11</v>
      </c>
      <c r="B21" s="50"/>
      <c r="C21" s="50"/>
      <c r="D21" s="51"/>
      <c r="E21" s="123">
        <v>1579.29</v>
      </c>
      <c r="F21" s="123"/>
      <c r="G21" s="49">
        <v>58076.74</v>
      </c>
      <c r="H21" s="50"/>
      <c r="I21" s="51"/>
      <c r="J21" s="49">
        <v>42937.77</v>
      </c>
      <c r="K21" s="50"/>
      <c r="L21" s="51"/>
      <c r="M21" s="8">
        <v>15328.2</v>
      </c>
    </row>
    <row r="22" spans="1:13" ht="27.75" customHeight="1" x14ac:dyDescent="0.3">
      <c r="A22" s="154" t="s">
        <v>35</v>
      </c>
      <c r="B22" s="155"/>
      <c r="C22" s="155"/>
      <c r="D22" s="156"/>
      <c r="E22" s="123">
        <f>SUM(E17:E21)</f>
        <v>2923.17</v>
      </c>
      <c r="F22" s="123"/>
      <c r="G22" s="134">
        <f>SUM(G17:G21)</f>
        <v>73681.25</v>
      </c>
      <c r="H22" s="136"/>
      <c r="I22" s="135"/>
      <c r="J22" s="49">
        <f>SUM(J17:J21)</f>
        <v>57425.599999999991</v>
      </c>
      <c r="K22" s="50"/>
      <c r="L22" s="51"/>
      <c r="M22" s="8">
        <f>SUM(M17:M21)</f>
        <v>17796.800000000003</v>
      </c>
    </row>
    <row r="23" spans="1:13" ht="27.75" customHeight="1" x14ac:dyDescent="0.3">
      <c r="A23" s="170" t="s">
        <v>36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2"/>
    </row>
    <row r="24" spans="1:13" x14ac:dyDescent="0.3">
      <c r="A24" s="6" t="s">
        <v>16</v>
      </c>
      <c r="B24" s="168" t="s">
        <v>37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73" t="s">
        <v>38</v>
      </c>
      <c r="M24" s="173"/>
    </row>
    <row r="25" spans="1:13" ht="22.5" customHeight="1" x14ac:dyDescent="0.3">
      <c r="A25" s="31">
        <v>1</v>
      </c>
      <c r="B25" s="174" t="s">
        <v>79</v>
      </c>
      <c r="C25" s="174"/>
      <c r="D25" s="174"/>
      <c r="E25" s="174"/>
      <c r="F25" s="174"/>
      <c r="G25" s="174"/>
      <c r="H25" s="174"/>
      <c r="I25" s="174"/>
      <c r="J25" s="174"/>
      <c r="K25" s="174"/>
      <c r="L25" s="49">
        <v>1799.52</v>
      </c>
      <c r="M25" s="51"/>
    </row>
    <row r="26" spans="1:13" ht="15.75" customHeight="1" x14ac:dyDescent="0.3">
      <c r="A26" s="31">
        <v>2</v>
      </c>
      <c r="B26" s="124" t="s">
        <v>25</v>
      </c>
      <c r="C26" s="124"/>
      <c r="D26" s="124"/>
      <c r="E26" s="124"/>
      <c r="F26" s="124"/>
      <c r="G26" s="124"/>
      <c r="H26" s="124"/>
      <c r="I26" s="124"/>
      <c r="J26" s="124"/>
      <c r="K26" s="124"/>
      <c r="L26" s="49">
        <v>20844.72</v>
      </c>
      <c r="M26" s="51"/>
    </row>
    <row r="27" spans="1:13" x14ac:dyDescent="0.3">
      <c r="A27" s="31">
        <v>3</v>
      </c>
      <c r="B27" s="124" t="s">
        <v>87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23">
        <f>326751.4+1109</f>
        <v>327860.40000000002</v>
      </c>
      <c r="M27" s="123"/>
    </row>
    <row r="28" spans="1:13" x14ac:dyDescent="0.3">
      <c r="A28" s="125" t="s">
        <v>39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7"/>
      <c r="L28" s="157">
        <f>SUM(L25:L27)</f>
        <v>350504.64</v>
      </c>
      <c r="M28" s="158"/>
    </row>
    <row r="29" spans="1:13" x14ac:dyDescent="0.3">
      <c r="A29" s="128"/>
      <c r="B29" s="129"/>
      <c r="C29" s="129"/>
      <c r="D29" s="129"/>
      <c r="E29" s="129"/>
      <c r="F29" s="129"/>
      <c r="G29" s="129"/>
      <c r="H29" s="129"/>
      <c r="I29" s="129"/>
      <c r="J29" s="129"/>
      <c r="K29" s="130"/>
      <c r="L29" s="159"/>
      <c r="M29" s="159"/>
    </row>
    <row r="30" spans="1:13" x14ac:dyDescent="0.3">
      <c r="A30" s="131" t="s">
        <v>44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3"/>
      <c r="L30" s="137">
        <v>93951.03</v>
      </c>
      <c r="M30" s="138"/>
    </row>
    <row r="31" spans="1:13" x14ac:dyDescent="0.3">
      <c r="A31" s="131" t="s">
        <v>40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3"/>
      <c r="L31" s="139">
        <v>42588.800000000003</v>
      </c>
      <c r="M31" s="140"/>
    </row>
    <row r="32" spans="1:13" x14ac:dyDescent="0.3">
      <c r="A32" s="131" t="s">
        <v>41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3"/>
      <c r="L32" s="143">
        <f>J11</f>
        <v>354133.69</v>
      </c>
      <c r="M32" s="138"/>
    </row>
    <row r="33" spans="1:13" x14ac:dyDescent="0.3">
      <c r="A33" s="131" t="s">
        <v>42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3"/>
      <c r="L33" s="139">
        <f>L28</f>
        <v>350504.64</v>
      </c>
      <c r="M33" s="140"/>
    </row>
    <row r="34" spans="1:13" x14ac:dyDescent="0.3">
      <c r="A34" s="131" t="s">
        <v>43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3"/>
      <c r="L34" s="139">
        <f>L31+L32-L33</f>
        <v>46217.849999999977</v>
      </c>
      <c r="M34" s="138"/>
    </row>
    <row r="35" spans="1:13" x14ac:dyDescent="0.3">
      <c r="A35" s="32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</row>
    <row r="36" spans="1:13" x14ac:dyDescent="0.3">
      <c r="A36" s="35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2"/>
      <c r="M36" s="142"/>
    </row>
    <row r="37" spans="1:13" x14ac:dyDescent="0.3">
      <c r="A37" s="35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</row>
    <row r="38" spans="1:13" x14ac:dyDescent="0.3">
      <c r="A38" s="35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</row>
    <row r="39" spans="1:13" x14ac:dyDescent="0.3">
      <c r="A39" s="1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"/>
      <c r="M39" s="1"/>
    </row>
    <row r="40" spans="1:13" x14ac:dyDescent="0.3">
      <c r="A40" s="1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3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</sheetData>
  <mergeCells count="90">
    <mergeCell ref="I5:M5"/>
    <mergeCell ref="A9:M9"/>
    <mergeCell ref="A10:D10"/>
    <mergeCell ref="E10:F10"/>
    <mergeCell ref="A7:F7"/>
    <mergeCell ref="B26:K26"/>
    <mergeCell ref="L25:M25"/>
    <mergeCell ref="L26:M26"/>
    <mergeCell ref="A22:D22"/>
    <mergeCell ref="A23:M23"/>
    <mergeCell ref="B24:K24"/>
    <mergeCell ref="L24:M24"/>
    <mergeCell ref="B25:K25"/>
    <mergeCell ref="A1:M1"/>
    <mergeCell ref="A2:M2"/>
    <mergeCell ref="A3:M3"/>
    <mergeCell ref="G8:I8"/>
    <mergeCell ref="J8:L8"/>
    <mergeCell ref="A8:D8"/>
    <mergeCell ref="E8:F8"/>
    <mergeCell ref="A6:G6"/>
    <mergeCell ref="H6:M6"/>
    <mergeCell ref="G7:K7"/>
    <mergeCell ref="L7:M7"/>
    <mergeCell ref="A4:D4"/>
    <mergeCell ref="E4:I4"/>
    <mergeCell ref="J4:M4"/>
    <mergeCell ref="A5:B5"/>
    <mergeCell ref="C5:H5"/>
    <mergeCell ref="J11:L11"/>
    <mergeCell ref="A16:M16"/>
    <mergeCell ref="A15:L15"/>
    <mergeCell ref="A13:L13"/>
    <mergeCell ref="G10:I10"/>
    <mergeCell ref="J10:L10"/>
    <mergeCell ref="A11:D11"/>
    <mergeCell ref="E11:F11"/>
    <mergeCell ref="G11:I11"/>
    <mergeCell ref="A12:L12"/>
    <mergeCell ref="A14:L14"/>
    <mergeCell ref="A21:D21"/>
    <mergeCell ref="G21:I21"/>
    <mergeCell ref="J21:L21"/>
    <mergeCell ref="E22:F22"/>
    <mergeCell ref="G22:I22"/>
    <mergeCell ref="J22:L22"/>
    <mergeCell ref="A33:K33"/>
    <mergeCell ref="L27:M27"/>
    <mergeCell ref="L28:M28"/>
    <mergeCell ref="L29:M29"/>
    <mergeCell ref="L31:M31"/>
    <mergeCell ref="A17:D17"/>
    <mergeCell ref="E17:F17"/>
    <mergeCell ref="G17:I17"/>
    <mergeCell ref="J17:L17"/>
    <mergeCell ref="A18:D18"/>
    <mergeCell ref="G18:I18"/>
    <mergeCell ref="J18:L18"/>
    <mergeCell ref="B40:K40"/>
    <mergeCell ref="L40:M40"/>
    <mergeCell ref="A30:K30"/>
    <mergeCell ref="L30:M30"/>
    <mergeCell ref="L33:M33"/>
    <mergeCell ref="L34:M34"/>
    <mergeCell ref="L35:M35"/>
    <mergeCell ref="L36:M36"/>
    <mergeCell ref="L37:M37"/>
    <mergeCell ref="L38:M38"/>
    <mergeCell ref="L32:M32"/>
    <mergeCell ref="B35:K35"/>
    <mergeCell ref="B36:K36"/>
    <mergeCell ref="B37:K37"/>
    <mergeCell ref="B38:K38"/>
    <mergeCell ref="A34:K34"/>
    <mergeCell ref="B39:K39"/>
    <mergeCell ref="E21:F21"/>
    <mergeCell ref="E18:F18"/>
    <mergeCell ref="B27:K27"/>
    <mergeCell ref="A28:K28"/>
    <mergeCell ref="A29:K29"/>
    <mergeCell ref="A31:K31"/>
    <mergeCell ref="A32:K32"/>
    <mergeCell ref="A19:D19"/>
    <mergeCell ref="A20:D20"/>
    <mergeCell ref="E19:F19"/>
    <mergeCell ref="G19:I19"/>
    <mergeCell ref="G20:I20"/>
    <mergeCell ref="E20:F20"/>
    <mergeCell ref="J19:L19"/>
    <mergeCell ref="J20:L20"/>
  </mergeCells>
  <pageMargins left="0.39370078740157483" right="7.874015748031496E-2" top="0.35433070866141736" bottom="0.35433070866141736" header="0" footer="0"/>
  <pageSetup scale="88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Лицевой счет  7-й Новый 100-1</vt:lpstr>
      <vt:lpstr>СОДЕРЖАНИЕ ЖИЛЬЯ</vt:lpstr>
      <vt:lpstr>ОТЧЕТ 7-й Новый 100-1на подпись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</cp:lastModifiedBy>
  <cp:lastPrinted>2022-03-05T22:21:00Z</cp:lastPrinted>
  <dcterms:created xsi:type="dcterms:W3CDTF">2015-06-05T18:19:34Z</dcterms:created>
  <dcterms:modified xsi:type="dcterms:W3CDTF">2024-03-28T15:19:20Z</dcterms:modified>
</cp:coreProperties>
</file>